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53" activeTab="0"/>
  </bookViews>
  <sheets>
    <sheet name="Bilanci 2022" sheetId="1" r:id="rId1"/>
    <sheet name="Përmbledhese OSHEE 2022" sheetId="2" r:id="rId2"/>
    <sheet name="Bilanc OSHEE Group" sheetId="3" r:id="rId3"/>
    <sheet name="OST 2022" sheetId="4" r:id="rId4"/>
    <sheet name="12-m 2022" sheetId="5" r:id="rId5"/>
    <sheet name="viti 2022" sheetId="6" r:id="rId6"/>
    <sheet name="Publikimi 2022 " sheetId="7" r:id="rId7"/>
    <sheet name="Prodh 2022" sheetId="8" r:id="rId8"/>
    <sheet name="Niv.Fierz.2022" sheetId="9" r:id="rId9"/>
    <sheet name="grafiku Humbjeve 2012-2022" sheetId="10" r:id="rId10"/>
    <sheet name="Humbjet 2009-2022" sheetId="11" r:id="rId11"/>
    <sheet name="Gjend.Deb.2022" sheetId="12" r:id="rId12"/>
    <sheet name="Deb. ne vite" sheetId="13" r:id="rId13"/>
    <sheet name="Debitor 2022" sheetId="14" r:id="rId14"/>
    <sheet name="En.Tot.Shpernd 22" sheetId="15" r:id="rId15"/>
    <sheet name="Efektiviteti 2022" sheetId="16" r:id="rId16"/>
    <sheet name="Alokimi Kapacit 2022" sheetId="17" r:id="rId17"/>
    <sheet name="DISBALANCAT " sheetId="18" r:id="rId18"/>
    <sheet name="Aneks 3 Kl.TL2022" sheetId="19" r:id="rId19"/>
    <sheet name="Devijime nga prog. Int 2022" sheetId="20" r:id="rId20"/>
    <sheet name="Pjesm Treg dhjetor 2022" sheetId="21" r:id="rId21"/>
    <sheet name="Transaksione 2022" sheetId="22" r:id="rId22"/>
    <sheet name="BLERJE KESH sipas VKM 757-2021" sheetId="23" r:id="rId23"/>
    <sheet name="SHIT-BLERJET KESH" sheetId="24" r:id="rId24"/>
  </sheets>
  <externalReferences>
    <externalReference r:id="rId27"/>
    <externalReference r:id="rId28"/>
    <externalReference r:id="rId29"/>
  </externalReferences>
  <definedNames>
    <definedName name="_xlnm.Print_Area" localSheetId="4">'12-m 2022'!$A$1:$P$22</definedName>
    <definedName name="_xlnm.Print_Area" localSheetId="16">'Alokimi Kapacit 2022'!$A$1:$T$38</definedName>
    <definedName name="_xlnm.Print_Area" localSheetId="18">'Aneks 3 Kl.TL2022'!$A$1:$O$27</definedName>
    <definedName name="_xlnm.Print_Area" localSheetId="2">'Bilanc OSHEE Group'!$A$1:$D$23</definedName>
    <definedName name="_xlnm.Print_Area" localSheetId="0">'Bilanci 2022'!$A$1:$R$64</definedName>
    <definedName name="_xlnm.Print_Area" localSheetId="22">'BLERJE KESH sipas VKM 757-2021'!$A$1:$H$172</definedName>
    <definedName name="_xlnm.Print_Area" localSheetId="12">'Deb. ne vite'!$A$1:$FF$117</definedName>
    <definedName name="_xlnm.Print_Area" localSheetId="13">'Debitor 2022'!$A$1:$AF$44</definedName>
    <definedName name="_xlnm.Print_Area" localSheetId="19">'Devijime nga prog. Int 2022'!$A$1:$N$37</definedName>
    <definedName name="_xlnm.Print_Area" localSheetId="17">'DISBALANCAT '!$A$1:$AA$34</definedName>
    <definedName name="_xlnm.Print_Area" localSheetId="15">'Efektiviteti 2022'!$A$1:$O$88</definedName>
    <definedName name="_xlnm.Print_Area" localSheetId="14">'En.Tot.Shpernd 22'!$A$1:$N$45</definedName>
    <definedName name="_xlnm.Print_Area" localSheetId="11">'Gjend.Deb.2022'!$A$1:$I$168</definedName>
    <definedName name="_xlnm.Print_Area" localSheetId="9">'grafiku Humbjeve 2012-2022'!$A$1:$ED$86</definedName>
    <definedName name="_xlnm.Print_Area" localSheetId="10">'Humbjet 2009-2022'!$A$1:$O$46</definedName>
    <definedName name="_xlnm.Print_Area" localSheetId="8">'Niv.Fierz.2022'!$A$1:$M$83</definedName>
    <definedName name="_xlnm.Print_Area" localSheetId="3">'OST 2022'!$A$1:$O$46</definedName>
    <definedName name="_xlnm.Print_Area" localSheetId="1">'Përmbledhese OSHEE 2022'!$A$1:$Q$63</definedName>
    <definedName name="_xlnm.Print_Area" localSheetId="20">'Pjesm Treg dhjetor 2022'!$A$1:$E$78</definedName>
    <definedName name="_xlnm.Print_Area" localSheetId="7">'Prodh 2022'!$A$1:$Q$264</definedName>
    <definedName name="_xlnm.Print_Area" localSheetId="6">'Publikimi 2022 '!$A$1:$N$33</definedName>
    <definedName name="_xlnm.Print_Area" localSheetId="23">'SHIT-BLERJET KESH'!$A$1:$P$57</definedName>
    <definedName name="_xlnm.Print_Area" localSheetId="21">'Transaksione 2022'!#REF!</definedName>
    <definedName name="_xlnm.Print_Area" localSheetId="5">'viti 2022'!$A$1:$AA$33</definedName>
  </definedNames>
  <calcPr fullCalcOnLoad="1"/>
</workbook>
</file>

<file path=xl/sharedStrings.xml><?xml version="1.0" encoding="utf-8"?>
<sst xmlns="http://schemas.openxmlformats.org/spreadsheetml/2006/main" count="3287" uniqueCount="1434">
  <si>
    <t>FATURIM-ARKETIMET DHE NDRYSHIMI I GJENDJES DEBITORE GJTE VITIT 2014             (000/LEKE)</t>
  </si>
  <si>
    <t xml:space="preserve">Faturuar 2014  </t>
  </si>
  <si>
    <t xml:space="preserve">arketimi per faturat e 2014 </t>
  </si>
  <si>
    <t xml:space="preserve">Arketimi per faturat e 2007-2013 </t>
  </si>
  <si>
    <t xml:space="preserve">Arketimi total </t>
  </si>
  <si>
    <t>Te Arketueshme per energjine e faturuar ne vitin 2014</t>
  </si>
  <si>
    <t>Ndryshimi I gjendjes se Llogarive te arketueshme gjate vitit 2014</t>
  </si>
  <si>
    <t>Shuarje Detyrimesh me VKM nr 198, dt 03.04.2014</t>
  </si>
  <si>
    <t>6=5+7</t>
  </si>
  <si>
    <t>9=(2-5)</t>
  </si>
  <si>
    <t>10=(2-5-7-a)</t>
  </si>
  <si>
    <t>a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</si>
  <si>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</si>
  <si>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</si>
  <si>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</si>
  <si>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</si>
  <si>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</si>
  <si>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</si>
  <si>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</si>
  <si>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</si>
  <si>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</si>
  <si>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</si>
  <si>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</si>
  <si>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</si>
  <si>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</t>
  </si>
  <si>
    <t xml:space="preserve">Prill </t>
  </si>
  <si>
    <t>Humbje Teknike njesite e TL (MWh)</t>
  </si>
  <si>
    <t>Humbje Teknike ne Zona (MWh)</t>
  </si>
  <si>
    <t>Humbje JoTeknike ne Zona (MWh)</t>
  </si>
  <si>
    <t>Humbje Teknike njesite e TL (%)</t>
  </si>
  <si>
    <t>Humbje Teknike ne Zona (%)</t>
  </si>
  <si>
    <t>Humbje JoTeknike ne Zona (%)</t>
  </si>
  <si>
    <t>D</t>
  </si>
  <si>
    <t>F</t>
  </si>
  <si>
    <t>Arketuar per faturat korrente te vitit aktual</t>
  </si>
  <si>
    <t>Arketuar per faturat e tjera te vitit aktual</t>
  </si>
  <si>
    <t>Arketuar per faturat e tjera te viteve te kaluara</t>
  </si>
  <si>
    <t>Arketuar per faturat korrente te vitit aktual (%)</t>
  </si>
  <si>
    <t>Arketuar per faturat e tjera te vitit aktual (%)</t>
  </si>
  <si>
    <t>Arketuar per faturat e tjera te viteve te kaluara (%)</t>
  </si>
  <si>
    <t>Fatura te emetuara me lexim konsumi  (Nr.)</t>
  </si>
  <si>
    <t>Sasia e energjise se faturuar me lexim konsumi  (MWh)</t>
  </si>
  <si>
    <t>Fatura te emetuara me lexim "0"  (Nr.)</t>
  </si>
  <si>
    <t>Nr.Faturave te emetuara pa lexim (energji e pa matur) (Nr.)</t>
  </si>
  <si>
    <t>Sasia e energjise se faturuar si energji e pamatur  (MWh)</t>
  </si>
  <si>
    <t>Nr.Faturave te emetuara pa lexim (dem ekonomik) (Nr.)</t>
  </si>
  <si>
    <t>Nr.Faturave per te cilat eshte arketuar kamat vonese (Nr.)</t>
  </si>
  <si>
    <t>Vlera e Kamat vonesave te arketuara (000/leke)</t>
  </si>
  <si>
    <t>31.12.2009</t>
  </si>
  <si>
    <t>31.12.2010</t>
  </si>
  <si>
    <t>31.12.2011</t>
  </si>
  <si>
    <t>31.12.2012</t>
  </si>
  <si>
    <t>31.12.2013</t>
  </si>
  <si>
    <t>31.12.2014</t>
  </si>
  <si>
    <t>Buxhetore</t>
  </si>
  <si>
    <t>Familjare</t>
  </si>
  <si>
    <t>JoBuxhetore</t>
  </si>
  <si>
    <t>Privat</t>
  </si>
  <si>
    <t>FATURIM-ARKETIMET DHE NDRYSHIMI I GJENDJES DEBITORE GJTE VITIT 2015             (000/LEKE)</t>
  </si>
  <si>
    <t xml:space="preserve">Faturuar 2015  </t>
  </si>
  <si>
    <t xml:space="preserve">arketimi per faturat e 2015 </t>
  </si>
  <si>
    <t xml:space="preserve">Arketimi per faturat e 2007-2014 </t>
  </si>
  <si>
    <t>Neto KURUM</t>
  </si>
  <si>
    <t>Te Arketueshme per energjine e faturuar ne vitin 2015</t>
  </si>
  <si>
    <t>VITI</t>
  </si>
  <si>
    <t>Mesatarja</t>
  </si>
  <si>
    <t>Minimumi</t>
  </si>
  <si>
    <t>Maksimumi</t>
  </si>
  <si>
    <t xml:space="preserve"> “KESH” sha</t>
  </si>
  <si>
    <t>Hec "Fierze" me fuqi  500 MW</t>
  </si>
  <si>
    <t>Hec "Koman"  me fuqi  600 MW</t>
  </si>
  <si>
    <t>Hec "V. Dejes" me fuqi  250 MW</t>
  </si>
  <si>
    <t xml:space="preserve"> “Kurum International” sh.a.</t>
  </si>
  <si>
    <t>"UKKO"sha (Ujsjell.Kanal.Korce)</t>
  </si>
  <si>
    <t>"Ayen As Energji"sha</t>
  </si>
  <si>
    <t>HEC Ashta</t>
  </si>
  <si>
    <t>MWh</t>
  </si>
  <si>
    <t>R</t>
  </si>
  <si>
    <t>Prodhimi Neto Hec Lanabregas</t>
  </si>
  <si>
    <t>Prodhimi Neto (Hec Ulez,Shkopet,Bistrica 1,2)</t>
  </si>
  <si>
    <t>Energji ne dhenie nga Interkoneksioni</t>
  </si>
  <si>
    <t>Energji ne marrje nga Interkoneksioni</t>
  </si>
  <si>
    <t>Ballanca Hyrje/Dalje nga Interkoneksioni</t>
  </si>
  <si>
    <t>ENERGJIA NETO E PRODHUAR NE SHQIPERI</t>
  </si>
  <si>
    <t>ENERGJI NGA INTERKONEKSIONI</t>
  </si>
  <si>
    <t>KONSUMI I ENERGJISE NE SHQIPERI</t>
  </si>
  <si>
    <t>PRODHIMI NETO NE SHQIPERI</t>
  </si>
  <si>
    <t>JANAR</t>
  </si>
  <si>
    <t>SHKURT</t>
  </si>
  <si>
    <t>MARS</t>
  </si>
  <si>
    <t>PRILL</t>
  </si>
  <si>
    <t>Neto Ashta</t>
  </si>
  <si>
    <t>LIDHJA</t>
  </si>
  <si>
    <t>110 kV</t>
  </si>
  <si>
    <t>Ndryshimi I gjendjes se Llogarive te arketueshme gjate vitit 2015</t>
  </si>
  <si>
    <t xml:space="preserve">Shuarje Detyrimesh </t>
  </si>
  <si>
    <t>31.12.2015</t>
  </si>
  <si>
    <t>Konsumuar nga OST (humbje +nevoja vetiake)</t>
  </si>
  <si>
    <t xml:space="preserve">Neto (Selit) </t>
  </si>
  <si>
    <t>Prodhim neto vendas</t>
  </si>
  <si>
    <t>H/C Peshqesh</t>
  </si>
  <si>
    <t>Prodhimi Hec Peshqesh</t>
  </si>
  <si>
    <t>PRODHUES</t>
  </si>
  <si>
    <t>P</t>
  </si>
  <si>
    <t>TREGTUES</t>
  </si>
  <si>
    <t>T</t>
  </si>
  <si>
    <t>SHPERNDARJE</t>
  </si>
  <si>
    <t>SH</t>
  </si>
  <si>
    <t>Nr</t>
  </si>
  <si>
    <t>Emri i Subjektit</t>
  </si>
  <si>
    <t>EIC Code</t>
  </si>
  <si>
    <t>data e regjistrimit</t>
  </si>
  <si>
    <t>Roli ne TEE</t>
  </si>
  <si>
    <t>Albanian Energy Supplier</t>
  </si>
  <si>
    <t>AXPO Albania</t>
  </si>
  <si>
    <t>Ayen AS Energji</t>
  </si>
  <si>
    <t>Ayen Energy Trading</t>
  </si>
  <si>
    <t>Devoll Hydropower</t>
  </si>
  <si>
    <t>Energji Ashta</t>
  </si>
  <si>
    <t>Energy Supply-AL</t>
  </si>
  <si>
    <t>GEN-I Tirana</t>
  </si>
  <si>
    <t>Green Energy Trading Albania</t>
  </si>
  <si>
    <t>Grupi Sistemeve Automatike</t>
  </si>
  <si>
    <t>Korporata Elektroenergjitike Shqiptare</t>
  </si>
  <si>
    <t>KURUM International</t>
  </si>
  <si>
    <t>NOA Energy Trade</t>
  </si>
  <si>
    <t>WENERG</t>
  </si>
  <si>
    <t>KURUM INTERNATIONAL</t>
  </si>
  <si>
    <t>Viti 2016</t>
  </si>
  <si>
    <t>GSA</t>
  </si>
  <si>
    <t>FATURIM-ARKETIMET DHE NDRYSHIMI I GJENDJES DEBITORE GJTE VITIT 2016   (000/LEKE)</t>
  </si>
  <si>
    <t xml:space="preserve">Faturuar 2016  </t>
  </si>
  <si>
    <t xml:space="preserve">arketimi per faturat e 2016 </t>
  </si>
  <si>
    <t xml:space="preserve">Arketimi per faturat e 2007-2015 </t>
  </si>
  <si>
    <t>Te Arketueshme per energjine e faturuar ne vitin 2016</t>
  </si>
  <si>
    <t>a+b</t>
  </si>
  <si>
    <t>Ndryshimi I gjendjes se Llogarive te arketueshme gjate vitit 2016</t>
  </si>
  <si>
    <t>Viti 2015</t>
  </si>
  <si>
    <t>Viti 2014</t>
  </si>
  <si>
    <t>54X-HECASHTA-059</t>
  </si>
  <si>
    <t>54X-AEG-02-1603G</t>
  </si>
  <si>
    <t>23X--150330-AA-K</t>
  </si>
  <si>
    <t>Hec-et Private dhe Konc. (Rrjeti Shperndarjes)</t>
  </si>
  <si>
    <t>Hec-et Private dhe Konc. (Rrjeti Transmetimit)</t>
  </si>
  <si>
    <t>Neto Banja</t>
  </si>
  <si>
    <t>31.12.2016</t>
  </si>
  <si>
    <t>Prodhimi Hec Banja</t>
  </si>
  <si>
    <t>"Strelca Energy" shpk</t>
  </si>
  <si>
    <t>"Gama Energy" shpk</t>
  </si>
  <si>
    <t>"Ballenja Power Martanesh" shpk</t>
  </si>
  <si>
    <t>HECET DHE  KAPACITETI</t>
  </si>
  <si>
    <t>MW</t>
  </si>
  <si>
    <t>SUBJEKTI</t>
  </si>
  <si>
    <t>220 kV</t>
  </si>
  <si>
    <t>Hec "Ulez" me fuqi  25,2 MW</t>
  </si>
  <si>
    <t>Hec "Shkopet" me fuqi   24 MW</t>
  </si>
  <si>
    <t>Hec "Bistrica 1" me fuqi  22,5Mw</t>
  </si>
  <si>
    <t>Hec "Bistrica 2" me fuqi  5 Mw</t>
  </si>
  <si>
    <t>Hec "Ashta"  me fuqi   48,2 MW</t>
  </si>
  <si>
    <t>"Energji Ashta" shpk</t>
  </si>
  <si>
    <t>Hec"Peshqesh"me fuqi 27,94 MW;,</t>
  </si>
  <si>
    <t>Hec "Banje" me fuqi 73 MW</t>
  </si>
  <si>
    <t xml:space="preserve">"Devoll Hydropower" sha </t>
  </si>
  <si>
    <t>Hec "Bishnica 2"  me fuqi   2.5 MW</t>
  </si>
  <si>
    <t>“HEC Bishnica 1,2 “shpk</t>
  </si>
  <si>
    <t>Hec "Dardhe"  me fuqi   5,8 MW</t>
  </si>
  <si>
    <t>“Wenerg “ shpk</t>
  </si>
  <si>
    <t>Hec”Truen” me fuqi 2,5 MW</t>
  </si>
  <si>
    <t>”TRUEN” shpk</t>
  </si>
  <si>
    <t>”DITEKO” shpk</t>
  </si>
  <si>
    <t>Hec "Sllabinje" me fuqi   13,8 MW</t>
  </si>
  <si>
    <t>“Power Elektrik Slabinje” shpk</t>
  </si>
  <si>
    <t xml:space="preserve">Hec"Bele 1"me fuqi 5 MW ; </t>
  </si>
  <si>
    <t>"Euron Energy" shpk</t>
  </si>
  <si>
    <t>Hec"Topojan 2" me fuqi 5,8 MW,</t>
  </si>
  <si>
    <t>Hec"Bele 2"me fuqi 11 MW ;</t>
  </si>
  <si>
    <t>"Alb-Energy" shpk</t>
  </si>
  <si>
    <t>Hec"Topojan 1" me fuqi 2,9 MW,</t>
  </si>
  <si>
    <t>Hec"Orgjost I Ri" me fuqi 4,8 MW</t>
  </si>
  <si>
    <t>"Energal" shpk</t>
  </si>
  <si>
    <t>”Energy partners Al” shpk</t>
  </si>
  <si>
    <t xml:space="preserve">Hec "Cerunje-1"  me fuqi  2.3 MW; </t>
  </si>
  <si>
    <t xml:space="preserve">Hec "Cerunje-2"  me fuqi  2.8 MW; </t>
  </si>
  <si>
    <t>Hec "Rrupe" me fuqi 3.6 MW;</t>
  </si>
  <si>
    <t>“C &amp; S Energy” shpk</t>
  </si>
  <si>
    <t>“C &amp; S Construction Energy” shpk</t>
  </si>
  <si>
    <t>Hec”Llapaj” me fuqi 13,62 MW</t>
  </si>
  <si>
    <t>”Gjo.Spa.POWER”shpk</t>
  </si>
  <si>
    <t>Hec"Lengarice" me fuqi 8.94 MW</t>
  </si>
  <si>
    <t>"Lengarica &amp; Energy" shpk</t>
  </si>
  <si>
    <t>Hec”Lura 1” me fuqi 6,54 MW</t>
  </si>
  <si>
    <t>”Erdat Lura” shpk</t>
  </si>
  <si>
    <t>Hec”Lura 2” me fuqi 4,02 MW</t>
  </si>
  <si>
    <t>Hec”Lura 3” me fuqi 5,66 MW</t>
  </si>
  <si>
    <t>Hec"Malla" me fuqi 5,455 MW</t>
  </si>
  <si>
    <t>"Gjure Rec" shpk</t>
  </si>
  <si>
    <t>Hec Prella me fuqi 14.97 MW</t>
  </si>
  <si>
    <t>"Prelle Energji"</t>
  </si>
  <si>
    <t>Hec"Lanabregas" me fuqi 5 MW</t>
  </si>
  <si>
    <t>"Hec Lanabregas" sha</t>
  </si>
  <si>
    <t>Hec "Lenie" me fuqi   400 kW</t>
  </si>
  <si>
    <t>“EMIKEL 2003” sh.p.k</t>
  </si>
  <si>
    <t>10kV</t>
  </si>
  <si>
    <t>Hec "Çorovode" me fuqi  200 kW</t>
  </si>
  <si>
    <t>Hec "Smokthine" me fuqi   9,2 MW</t>
  </si>
  <si>
    <t>“Albania Green Energy” sh.p.k</t>
  </si>
  <si>
    <t>35 kV</t>
  </si>
  <si>
    <t>Hec "Bulqize" me fuqi 0,6 MW (Diber)</t>
  </si>
  <si>
    <t>"Balkan Green Energy" shpk</t>
  </si>
  <si>
    <t>Hec "Homesh" me fuqi 0,395 MW (Diber</t>
  </si>
  <si>
    <t>Hec "Zerqan" me fuqi 0,625 MW (Diber)</t>
  </si>
  <si>
    <t>6kV</t>
  </si>
  <si>
    <t>Hec "Arras" me fuqi 4,8 MW (Diber)</t>
  </si>
  <si>
    <t>20kV</t>
  </si>
  <si>
    <t>Hec "Orgjost" me fuqi 1,2 MW (Kukes)</t>
  </si>
  <si>
    <t>Hec "Lekbibaj" me fuqi 1,4 MW (Tropoje)</t>
  </si>
  <si>
    <t>Hec "Dukagjin" me fuqi 0,64 MW (Shkoder)</t>
  </si>
  <si>
    <t>Hec "Marjan" me fuqi 0,2 MW (Korce)</t>
  </si>
  <si>
    <t>Hec "Lozhan" me fuqi 0,1 MW (Korce)</t>
  </si>
  <si>
    <t>Hec "Barmash" me fuqi 0,83 MW (Kolonje)</t>
  </si>
  <si>
    <t>Hec "Treske 2" me fuqi 0,25 MW (Korce)</t>
  </si>
  <si>
    <t>Hec "Nikolice" me fuqi 0,7 MW (Korce)</t>
  </si>
  <si>
    <t>Hec "Funares" me fuqi 1,92 MW (Librazhd)</t>
  </si>
  <si>
    <t>Hec "Lunik" me fuqi 0,2 MW (Librazhd)</t>
  </si>
  <si>
    <t>Hec "Kerpice" me fuqi 0,42 MW (Gramsh)</t>
  </si>
  <si>
    <t>Hec "Ujanik" me fuqi 0,63 MW (Skrapar)</t>
  </si>
  <si>
    <t>Hec "Borsh" me fuqi 0,25 MW (Sarande)</t>
  </si>
  <si>
    <t>Hec "Leshnice" me fuqi 0,38 MW (Sarande)</t>
  </si>
  <si>
    <t>10/6kv</t>
  </si>
  <si>
    <t>Hec "Velcan" me fuqi 1,2 MW (Korce)</t>
  </si>
  <si>
    <t>Hec "Muhur" me fuqi 0,25 MW (Diber)</t>
  </si>
  <si>
    <t>Hec "Rajan" me fuqi 1,02 MW (Kolonje)</t>
  </si>
  <si>
    <t>Hec "Lure" me fuqi 0,75 MW (Diber)</t>
  </si>
  <si>
    <t>Hec "Gjanç "  me fuqi   2,96  MW</t>
  </si>
  <si>
    <t>“Spahiu Gjanç” sh.p.k.</t>
  </si>
  <si>
    <t>Hec "Bogove"  me fuqi   2,5 MW</t>
  </si>
  <si>
    <t>“Wonder power” sha</t>
  </si>
  <si>
    <t>Hec "Xhyre"  me fuqi   570 kW</t>
  </si>
  <si>
    <t>“Amal” sh.p.k</t>
  </si>
  <si>
    <t>Hec "Stranik" me fuqi   4.6 MW</t>
  </si>
  <si>
    <t>“Hidroinvest 1” shpk</t>
  </si>
  <si>
    <t>35kV</t>
  </si>
  <si>
    <t>Hec "Zall Tore"  me fuqi   3 MW</t>
  </si>
  <si>
    <t>Hec "Klos"  me fuqi   1,95 MW</t>
  </si>
  <si>
    <t>“Malido-Energji” shpk</t>
  </si>
  <si>
    <t>Hec "Borje"  me fuqi   1.5 MW</t>
  </si>
  <si>
    <t>“HIDROALBANIA Energji” shpk</t>
  </si>
  <si>
    <t>Hec "Cernaleve "  me fuqi   2.95 MW</t>
  </si>
  <si>
    <t>Hec "Cernaleve 1"  me fuqi   3.27 MW</t>
  </si>
  <si>
    <t>Hec "Murdhar 1"  me fuqi   2.68 MW</t>
  </si>
  <si>
    <t>“HydroEnergy “shpk</t>
  </si>
  <si>
    <t>Hec "Murdhar 2"  me fuqi   1 MW</t>
  </si>
  <si>
    <t>Hec "Dishnice" me fuqi   0.2 MW</t>
  </si>
  <si>
    <t>“Dishnica Energy” shpk</t>
  </si>
  <si>
    <t>hec "Lubonje"  me fuqi   0.3 Mw</t>
  </si>
  <si>
    <t>“Elektro Lubonje” shpk</t>
  </si>
  <si>
    <t>Hec "Peshke"  me fuqi   3.43 MW</t>
  </si>
  <si>
    <t>“Koka &amp; Ergi Energy Peshk” shpk</t>
  </si>
  <si>
    <t>Hec "Labinot –Mal" me fuqi   0.25 MW</t>
  </si>
  <si>
    <t>”Ansara Koncension” shpk</t>
  </si>
  <si>
    <t>Hec "Pobreg"  me fuqi   12,3 MW</t>
  </si>
  <si>
    <t>”Energy Plus” shpk</t>
  </si>
  <si>
    <t>Hec "Vlushe" me fuqi 14.2 MW</t>
  </si>
  <si>
    <t>”Hec Vlushe ” shpk</t>
  </si>
  <si>
    <t>Hec"Belesova 1" me fuqi  0.150 MW</t>
  </si>
  <si>
    <t>”Korkis 2009” shpk</t>
  </si>
  <si>
    <t>Hec "Faqekuq 1,2" me fuqi (3 MW; 3.4 MW)</t>
  </si>
  <si>
    <t xml:space="preserve">”HP OSTROVICA” shpk </t>
  </si>
  <si>
    <t>Hec"Shemri" me fuqi  1 MW</t>
  </si>
  <si>
    <t>”Erald Energjitik” shpk</t>
  </si>
  <si>
    <t>Hec"Mgulle" me fuqi  0.28 MW</t>
  </si>
  <si>
    <t>Hec"Kryezi 1" me fuqi  0.6 Mw</t>
  </si>
  <si>
    <t>”Bekim Energjitik” shpk</t>
  </si>
  <si>
    <t>Hec"Selishte" me fuqi  2 MW</t>
  </si>
  <si>
    <t xml:space="preserve">”Selishte” shpk </t>
  </si>
  <si>
    <t>Hec”Carshove” me fuqi 1.5 Mw</t>
  </si>
  <si>
    <t>”ERMA MP” shpk</t>
  </si>
  <si>
    <t>Hec”Ura e Dashit” me fuqi 1,2MW</t>
  </si>
  <si>
    <t>Hec”Gizavesh” me fuqi 0.5 MW</t>
  </si>
  <si>
    <t>”Dosku Energy” shpk</t>
  </si>
  <si>
    <t>Hec “Koka 1”  me fuqi 3,2 MW</t>
  </si>
  <si>
    <t>”Snow Energy” shpk</t>
  </si>
  <si>
    <t>Hec “Stravaj”  me fuqi 3,6 MW</t>
  </si>
  <si>
    <t>”Stravaj Energji” shpk</t>
  </si>
  <si>
    <t>Hec”Picar 1”  me fuqi 0,2 MW</t>
  </si>
  <si>
    <t>”Peshku Picar 1” shpk</t>
  </si>
  <si>
    <t>Hec”Vertop” me fuqi 1,52 Mw</t>
  </si>
  <si>
    <t>”Hydro Salillari Energy ”shpk</t>
  </si>
  <si>
    <t>35kv</t>
  </si>
  <si>
    <t>Hec”Martanesh” me fuqi 10,5 MW</t>
  </si>
  <si>
    <t>”Albanian Power” shpk</t>
  </si>
  <si>
    <t>Hec”Verba 1,2” me fuqi (2 MW, 3 MW)</t>
  </si>
  <si>
    <t>”Hydro power Plant Of Korca” shpk</t>
  </si>
  <si>
    <t>Hec”Fterra” me fuqi1,08 MW</t>
  </si>
  <si>
    <t>”Hidro Borshi” shpk</t>
  </si>
  <si>
    <t>Hec”Ostren i Vogel” me fuqi 0,32 MW</t>
  </si>
  <si>
    <t>”Lu &amp; Co Eco Energy” shpk</t>
  </si>
  <si>
    <t>Hec”Kozel” me fuqi 0,5 MW</t>
  </si>
  <si>
    <t>”E.T.H.H. ”shpk</t>
  </si>
  <si>
    <t>Hec”Helmes 1” me fuqi 0,8 MW</t>
  </si>
  <si>
    <t>Hec”Helmes 2” me fuqi 0,5, MW</t>
  </si>
  <si>
    <t>Hec”Qafezeze” me fuqi 0,4 MW</t>
  </si>
  <si>
    <t>”Caushi Energji” shpk</t>
  </si>
  <si>
    <t>Hec”Trebisht” me fuqi 1,775 MW</t>
  </si>
  <si>
    <t>”SA.GLE.Kompani ”shpk</t>
  </si>
  <si>
    <t>Hec”Mollaj” me fuqi 0,6 MW</t>
  </si>
  <si>
    <t>"Energji Xhaci" shpk</t>
  </si>
  <si>
    <t>Hec”Tucep” me fuqi 0,4 MW</t>
  </si>
  <si>
    <t>”Tucep” shpk</t>
  </si>
  <si>
    <t>Hec”Treska4” me fuqi  3,6 MW</t>
  </si>
  <si>
    <t>”Hec-Treske”shpk</t>
  </si>
  <si>
    <t>Hec”Sotire1 &amp; 2” me fuqi  2,2 MW</t>
  </si>
  <si>
    <t>”Hidro Energy Sotire”shpk</t>
  </si>
  <si>
    <t>Hec”Shutine” me fuqi  2,4 MW</t>
  </si>
  <si>
    <t>”Shutina energji”shpk</t>
  </si>
  <si>
    <t>Hec”Cekrez 1,2” me fuqi (0,23 MW; 0.43 MW)</t>
  </si>
  <si>
    <t>”Zall Herr Energji 2011”shpk</t>
  </si>
  <si>
    <t>Hec”Qarr” me fuqi  1 MW</t>
  </si>
  <si>
    <t>”Hec Qarr &amp; Kaltanj”shpk</t>
  </si>
  <si>
    <t>Hec”Bisak” me fuqi 1,3 MW</t>
  </si>
  <si>
    <t>”Bardhgjana” shpk</t>
  </si>
  <si>
    <t>6kv</t>
  </si>
  <si>
    <t>Hec”Shales” me fuqi  1,08 MW</t>
  </si>
  <si>
    <t>”Gjoka Konstruksion Energji” shpk</t>
  </si>
  <si>
    <t>Hec”Strelce” me fuqi  1,174 MW</t>
  </si>
  <si>
    <t>Hec "Shpelle" me fuqi   400 kW</t>
  </si>
  <si>
    <t>“Sarolli” sh.p.k</t>
  </si>
  <si>
    <t>Hec "Bicaj" me fuqi   3,1 MW</t>
  </si>
  <si>
    <t>“EN-KU”  sh.p.k</t>
  </si>
  <si>
    <t>Hec "Leskovik 1" me fuqi  1072 kW</t>
  </si>
  <si>
    <t>“Maksi Elektrik” sh.p.k</t>
  </si>
  <si>
    <t>Hec "Leskovik 2" me fuqi  1100 kW</t>
  </si>
  <si>
    <t>Hec "Orenjë" me fuqi   875 kW</t>
  </si>
  <si>
    <t>“Juana” sh.p.k</t>
  </si>
  <si>
    <t>Hec "Tamarë" me fuqi  750 kW</t>
  </si>
  <si>
    <t>“WTS Energji” shpk</t>
  </si>
  <si>
    <t>Hec "Benë" me fuqi   1000 kW</t>
  </si>
  <si>
    <t>“Marjakaj” shpk</t>
  </si>
  <si>
    <t>Hec "Vithkuq" me fuqi   2,715 MW</t>
  </si>
  <si>
    <t>“Favina 1” shpk</t>
  </si>
  <si>
    <t>35/10kV</t>
  </si>
  <si>
    <t>Hec "Selce" me fuqi  1600 kW</t>
  </si>
  <si>
    <t>“Selca Energji” shpk</t>
  </si>
  <si>
    <t>Hec” Kumbull- Merkurth” me fuqi   0.83 Mw</t>
  </si>
  <si>
    <t>”DN &amp; NAT Energy”shpk</t>
  </si>
  <si>
    <t>Hec "Sasaj" me fuqi  8,6 MW</t>
  </si>
  <si>
    <t>“Energo – Sas” shpk</t>
  </si>
  <si>
    <t>Hec "Tervol" me fuqi  10.6 MW</t>
  </si>
  <si>
    <t>"Hec i Tervolit" shpk</t>
  </si>
  <si>
    <t>Hec "Radove" me fuqi  2,5 MW</t>
  </si>
  <si>
    <t>"MTC Energy" shpk</t>
  </si>
  <si>
    <t>Hec"Gurshpat 1"me fuqi 0,84 MW,</t>
  </si>
  <si>
    <t>"Gurshpat Energy" shpk</t>
  </si>
  <si>
    <t>Hec"Gurshpat 2"me fuqi 0,83 MW</t>
  </si>
  <si>
    <t>Hec"Bistrica 3"me fuqi 1,57 MW,</t>
  </si>
  <si>
    <t>"Bistrica 3 Energy" shpk</t>
  </si>
  <si>
    <t>Hec"Hurdhas 1"me fuqi 1,71MW,</t>
  </si>
  <si>
    <t>"Komp Energji" shpk</t>
  </si>
  <si>
    <t>Hec"Perrollaj" me fuqi 0,5 MW</t>
  </si>
  <si>
    <t>"Fatlum" shpk</t>
  </si>
  <si>
    <t>Hec"Koxheraj" me fuqi 0,62 MW</t>
  </si>
  <si>
    <t>"Koxherri Energji" shpk</t>
  </si>
  <si>
    <t>10kv</t>
  </si>
  <si>
    <t>Hec"Kacni" me fuqi 3,87 MW</t>
  </si>
  <si>
    <t>"Kisi-Bio-Energji" shpk</t>
  </si>
  <si>
    <t>Hec"Lena 1"me fuqi 1,95 MW;,</t>
  </si>
  <si>
    <t>Hec"Lena 2" me fuqi 2,3 MW</t>
  </si>
  <si>
    <t>Hec"Lena 2A" me fuqi 0,25 MW</t>
  </si>
  <si>
    <t>Hec "Driza" me fuqi 3,408 MW</t>
  </si>
  <si>
    <t>"Mesopotam Energy" shpk</t>
  </si>
  <si>
    <t>Hec Strelca 1,2,3 (1.504 MW, 0.325 MW, 3.52 MW)</t>
  </si>
  <si>
    <t>Hec "Ujanik 2" me fuqi 2,5 MW</t>
  </si>
  <si>
    <t>"HP Ujaniku Energy" shpk</t>
  </si>
  <si>
    <t>Hec "Nishove" me fuqi 1,36 MW</t>
  </si>
  <si>
    <t>"Nishova Energy" shpk</t>
  </si>
  <si>
    <t>Hec "Shtika" me fuqi 1,3 MW</t>
  </si>
  <si>
    <t>"Perparimi SK" shpk</t>
  </si>
  <si>
    <t>Hec "Ballenje" me fuqi 1,9 MW</t>
  </si>
  <si>
    <t>"Gavran Energy" shpk</t>
  </si>
  <si>
    <t>23X--150416-A—N</t>
  </si>
  <si>
    <t>23X--140426-AY-W</t>
  </si>
  <si>
    <t>23X--150409-DHP5</t>
  </si>
  <si>
    <t>23X---120709GEN0</t>
  </si>
  <si>
    <t>23X--150702GE--3</t>
  </si>
  <si>
    <t>22XGSA---------N</t>
  </si>
  <si>
    <t>23X--130918APC-M</t>
  </si>
  <si>
    <t>23X--131115KI--1</t>
  </si>
  <si>
    <t>23X--150630-NE-6</t>
  </si>
  <si>
    <t>Stravaj Energy</t>
  </si>
  <si>
    <t>54X-STRAVAJ-E086</t>
  </si>
  <si>
    <t>P; T</t>
  </si>
  <si>
    <t>Arketimi</t>
  </si>
  <si>
    <t xml:space="preserve">Humbja </t>
  </si>
  <si>
    <t>Efektiviteti</t>
  </si>
  <si>
    <t>NR</t>
  </si>
  <si>
    <t>Hec Gavran 1</t>
  </si>
  <si>
    <t>FATURIM-ARKETIMET DHE NDRYSHIMI I GJENDJES DEBITORE GJTE VITIT 2017   (000/LEKE)</t>
  </si>
  <si>
    <t xml:space="preserve">Faturuar 2017  </t>
  </si>
  <si>
    <t xml:space="preserve">arketimi per faturat e 2017 </t>
  </si>
  <si>
    <t xml:space="preserve">Arketimi per faturat e 2007-2016 </t>
  </si>
  <si>
    <t>Te Arketueshme per energjine e faturuar ne vitin 2017</t>
  </si>
  <si>
    <t>Ndryshimi I gjendjes se Llogarive te arketueshme gjate vitit 2017</t>
  </si>
  <si>
    <t>Hec "Rapuni 1,2"  me fuqi  4 dhe 4.1 MW</t>
  </si>
  <si>
    <t>Hec "Rapuni 3,4"  me fuqi   8.857 MW</t>
  </si>
  <si>
    <t>Viti 2017</t>
  </si>
  <si>
    <t>Minus = Hyrje</t>
  </si>
  <si>
    <t>Plus = Dalje</t>
  </si>
  <si>
    <t>Data</t>
  </si>
  <si>
    <t>FURNIZUES</t>
  </si>
  <si>
    <t>FURNIZUES I SHËRBIMIT UNIVERSAL</t>
  </si>
  <si>
    <t>FSHU</t>
  </si>
  <si>
    <t>T; F</t>
  </si>
  <si>
    <t>26.05.2015</t>
  </si>
  <si>
    <t>17.12.2014</t>
  </si>
  <si>
    <t>P; T; F</t>
  </si>
  <si>
    <t>04.05.2014</t>
  </si>
  <si>
    <t>11.06.2015</t>
  </si>
  <si>
    <t>25.05.2012</t>
  </si>
  <si>
    <t>31.01.2011</t>
  </si>
  <si>
    <t>01.07.2015</t>
  </si>
  <si>
    <t>09.05.2011</t>
  </si>
  <si>
    <t>25.04.2011</t>
  </si>
  <si>
    <t>17.12.2013</t>
  </si>
  <si>
    <t>10.03.2015</t>
  </si>
  <si>
    <t>25.04.2014</t>
  </si>
  <si>
    <t>54X-WENERG---10E</t>
  </si>
  <si>
    <t>10.06.2015</t>
  </si>
  <si>
    <t>Energy Financing Team Tirana</t>
  </si>
  <si>
    <t>54X-EFT-TIRANA-V</t>
  </si>
  <si>
    <t>24.08.2017</t>
  </si>
  <si>
    <t>Burimi OST sha</t>
  </si>
  <si>
    <t>Nr.</t>
  </si>
  <si>
    <t>Subjekti</t>
  </si>
  <si>
    <t>Lloji transaksionit</t>
  </si>
  <si>
    <t>DEVOLLI HP</t>
  </si>
  <si>
    <t>Shkembime Cross-Border</t>
  </si>
  <si>
    <t>AL-GR Greece - IN</t>
  </si>
  <si>
    <t>AL-ME Monte Negro - IN</t>
  </si>
  <si>
    <t>Total IN</t>
  </si>
  <si>
    <t>AL-GR Greece - OUT</t>
  </si>
  <si>
    <t>AL-ME Monte Negro - OUT</t>
  </si>
  <si>
    <t>Total OUT</t>
  </si>
  <si>
    <t>Prodhimi</t>
  </si>
  <si>
    <t>Total Prodhim</t>
  </si>
  <si>
    <t>Transaksionet e brendshme</t>
  </si>
  <si>
    <t>Shitje KESH</t>
  </si>
  <si>
    <t>Total transaksione</t>
  </si>
  <si>
    <t>Blerje KURUM</t>
  </si>
  <si>
    <t>Shitje NOA</t>
  </si>
  <si>
    <t>Shitje GEN-I</t>
  </si>
  <si>
    <t>GEN-I</t>
  </si>
  <si>
    <t>Shitje Konsumatoreve te Kualifikuar</t>
  </si>
  <si>
    <t>Shitje GSA</t>
  </si>
  <si>
    <t>Blerje AYEN</t>
  </si>
  <si>
    <t>Shitje KURUM</t>
  </si>
  <si>
    <t>Blerje KESH</t>
  </si>
  <si>
    <t>Blerje GEN-I</t>
  </si>
  <si>
    <t>Shitje AYEN</t>
  </si>
  <si>
    <t>NOA</t>
  </si>
  <si>
    <t>Blerje DANSKE</t>
  </si>
  <si>
    <t>Blerje GSA</t>
  </si>
  <si>
    <t>HYRJE</t>
  </si>
  <si>
    <t>Dhene nga H/C e KESH ne rrjetin e Transmetimit</t>
  </si>
  <si>
    <t>Dhene nga H/C e me perparesi ne rrjetin e Transmetimit</t>
  </si>
  <si>
    <t>Gjenerim  KURUM (prodhues i pavarur)</t>
  </si>
  <si>
    <t>HEC ASHTA (prodhues i pavarur Kontr.me OSHEE)</t>
  </si>
  <si>
    <t>HEC BANJE (prodhues i pavarur)</t>
  </si>
  <si>
    <t>HEC PESHQESH-T1/637 (prodhues i pavarur)</t>
  </si>
  <si>
    <t>Importi(Hyre) nga Linjat e Interkonjeksionit</t>
  </si>
  <si>
    <t>DALJE</t>
  </si>
  <si>
    <t>Humbjet ne Transmetim</t>
  </si>
  <si>
    <t>Transmetuar ne Rrjetin e Shperndarjes</t>
  </si>
  <si>
    <t>Eksporti (Dale) nga Linjat e Interkonjeksionit</t>
  </si>
  <si>
    <t>Humbjet ne Transmetim ne %</t>
  </si>
  <si>
    <t>”TEODORI 2003” shpk</t>
  </si>
  <si>
    <t>Hec”Ternove” me fuqi 8.385 Mw</t>
  </si>
  <si>
    <t>Hec”Gjorice” me fuqi 4.18 Mw (+h/c ne prodhim)</t>
  </si>
  <si>
    <t>Hec Kasollet e Selces 1</t>
  </si>
  <si>
    <t>Hec Lusen 1</t>
  </si>
  <si>
    <t>"Xhango Energji" shpk</t>
  </si>
  <si>
    <t>"Eurobiznes" shpk</t>
  </si>
  <si>
    <t>Hec”Treska3” me fuqi   0.3 MW</t>
  </si>
  <si>
    <t>H/C Fangu</t>
  </si>
  <si>
    <t>HEC FANGU (prodhues i pavarur)</t>
  </si>
  <si>
    <t>Energji e levruar nga prodhuesit me përparesi lidhur ne TL (kontrate me OSHEE)</t>
  </si>
  <si>
    <t>Energji e levruar nga H/C ASHTA  lidhur ne TL  (kontrate me OSHEE)</t>
  </si>
  <si>
    <t>Energji e levruar nga H/C et Priv/konc lidhur ne TL    (Prodhues ne treg te hapur)</t>
  </si>
  <si>
    <t>Kurum</t>
  </si>
  <si>
    <t>Banje</t>
  </si>
  <si>
    <t>Fangu</t>
  </si>
  <si>
    <t>Peshqesh</t>
  </si>
  <si>
    <t>Energji e lëvruar nga H/C-et e KESH sha</t>
  </si>
  <si>
    <t>Energji ne hyrje nga Interkonieksioni</t>
  </si>
  <si>
    <t>Humbje + Konsum ne Transmetim</t>
  </si>
  <si>
    <t>Energji ne dalje nga Interkonieksioni</t>
  </si>
  <si>
    <t>ENERGJI HYRESE NE RRJETIN E TRANSMETIMIT</t>
  </si>
  <si>
    <t>ENERGJI HYRESE NE RRJETIN E SHPERNDARJES</t>
  </si>
  <si>
    <t>Prodhim HEC PESHQESH+HEC FANG</t>
  </si>
  <si>
    <t>Blerje AES</t>
  </si>
  <si>
    <t>Shitje AES</t>
  </si>
  <si>
    <t>EFT (Energy Financing Team) TIRANA</t>
  </si>
  <si>
    <t>AES                      (Albanian Energy Supplier)</t>
  </si>
  <si>
    <t>Blerje EFT TIRANA</t>
  </si>
  <si>
    <t>31.12.2017</t>
  </si>
  <si>
    <t>Prodhimi Hec Fangu</t>
  </si>
  <si>
    <t>Burimi OSHEE sha</t>
  </si>
  <si>
    <t>Hec"Fangu"me fuqi 74.6   MW;,</t>
  </si>
  <si>
    <t>Hec”Treska 2T” 5 me fuqi 0.62     MW</t>
  </si>
  <si>
    <t>Hec Gavran 2</t>
  </si>
  <si>
    <t>Ankandi</t>
  </si>
  <si>
    <t>Periudha</t>
  </si>
  <si>
    <t>Shqiperi - Mali Zi</t>
  </si>
  <si>
    <t>Shqiperi - Greqi</t>
  </si>
  <si>
    <t>Shqiperi - Kosove</t>
  </si>
  <si>
    <t>ATC e ofruar ne Ankand</t>
  </si>
  <si>
    <t>ATC e shitur ne Ankand</t>
  </si>
  <si>
    <t>Cmimi Ankandit</t>
  </si>
  <si>
    <t>Export</t>
  </si>
  <si>
    <t>Import</t>
  </si>
  <si>
    <t>[ MW ]</t>
  </si>
  <si>
    <t>[ Euro/MWh ]</t>
  </si>
  <si>
    <t>HUMBJE TEKNIKE NE TL (N/ST)</t>
  </si>
  <si>
    <t xml:space="preserve">Hec Ura e Fanit </t>
  </si>
  <si>
    <t>Burimi OST ,OSHEE sha</t>
  </si>
  <si>
    <t>HEC Gorice</t>
  </si>
  <si>
    <t>HEC Kabash 1&amp;2</t>
  </si>
  <si>
    <t>MC Inerte Lumzi</t>
  </si>
  <si>
    <t>HEC Lumzi</t>
  </si>
  <si>
    <t>Alpiq Energy Albania</t>
  </si>
  <si>
    <t>23X--141204AEA-T</t>
  </si>
  <si>
    <t>29.04.2011</t>
  </si>
  <si>
    <t>Shitje OST</t>
  </si>
  <si>
    <t>Shitje GETA</t>
  </si>
  <si>
    <t>Shitur Klienteve FMF Privat (MWh)</t>
  </si>
  <si>
    <t>Shitur Klienteve FMF JoBuxhetore(MWh)</t>
  </si>
  <si>
    <t>FATURIM-ARKETIMET DHE NDRYSHIMI I GJENDJES DEBITORE GJTE VITIT 2018   (000/LEKE)</t>
  </si>
  <si>
    <t>Viti 2018</t>
  </si>
  <si>
    <t xml:space="preserve">Faturuar 2018  </t>
  </si>
  <si>
    <t xml:space="preserve">arketimi per faturat e 2018 </t>
  </si>
  <si>
    <t xml:space="preserve">Arketimi per faturat e 2007-2017 </t>
  </si>
  <si>
    <t>Te Arketueshme per energjine e faturuar ne vitin 2018</t>
  </si>
  <si>
    <t>OST sha</t>
  </si>
  <si>
    <t>Ndryshimi I gjendjes se Llogarive te arketueshme gjate vitit 2018</t>
  </si>
  <si>
    <t>Blerje AYEN Energy Trading</t>
  </si>
  <si>
    <t>Shitje AYEN Energy Trading</t>
  </si>
  <si>
    <t>Blerje AYEN AS Energji</t>
  </si>
  <si>
    <t>Shitje AYEN AS Energji</t>
  </si>
  <si>
    <t>AYEN AS Energji</t>
  </si>
  <si>
    <t xml:space="preserve">Blerje AYEN Energy Trading </t>
  </si>
  <si>
    <t>GETA                                (GREEN ENERGY TRADING ALBANIA)</t>
  </si>
  <si>
    <t>Prodhimi Neto  KESH sha</t>
  </si>
  <si>
    <t>HEC “Tucep 2”</t>
  </si>
  <si>
    <t>31.12.2018</t>
  </si>
  <si>
    <t>HEC Cemerica 1</t>
  </si>
  <si>
    <t>”REJ ENERGY” shpk</t>
  </si>
  <si>
    <t>HEC Cemerica 2</t>
  </si>
  <si>
    <t>HEC Cemerica 3</t>
  </si>
  <si>
    <t>HEC TUÇ</t>
  </si>
  <si>
    <t>Hec Denas</t>
  </si>
  <si>
    <t>"Denas Power" shpk</t>
  </si>
  <si>
    <t>Llënga 1</t>
  </si>
  <si>
    <t>“HEC LLËNGË” sh.p.k</t>
  </si>
  <si>
    <t>Llënga 2</t>
  </si>
  <si>
    <t>Llënga 3</t>
  </si>
  <si>
    <t>Liria Energji shpk</t>
  </si>
  <si>
    <t>HEC Germani 1</t>
  </si>
  <si>
    <t>SA'GA-MAT shpk</t>
  </si>
  <si>
    <t>HEC Germani 2</t>
  </si>
  <si>
    <t>HEC Kabash Porocan shpk</t>
  </si>
  <si>
    <t xml:space="preserve">Hec Holta Poroçan </t>
  </si>
  <si>
    <t>“THE BLUE STAR” sh.p.k</t>
  </si>
  <si>
    <t>"Univers Energji" shpk</t>
  </si>
  <si>
    <t>”DUKA  T2” shpk</t>
  </si>
  <si>
    <t>Hec Dobrenje Tomorrice</t>
  </si>
  <si>
    <t>DAAB Energy Group shpk</t>
  </si>
  <si>
    <t xml:space="preserve">Hec Holta Kabash </t>
  </si>
  <si>
    <t>-</t>
  </si>
  <si>
    <t>Tec Vlora me fuqi 98 MW</t>
  </si>
  <si>
    <t>T;F</t>
  </si>
  <si>
    <t>URADRIN</t>
  </si>
  <si>
    <t>54X-100ID101218J</t>
  </si>
  <si>
    <t>10.08.2018</t>
  </si>
  <si>
    <t>Energia Gas and Power Albania shpk</t>
  </si>
  <si>
    <t>23x-150309-LT-Y</t>
  </si>
  <si>
    <t>22.10.2018</t>
  </si>
  <si>
    <t>RENRGY Trading Group</t>
  </si>
  <si>
    <t>54X-10IRN102618R</t>
  </si>
  <si>
    <t>12.11.2018</t>
  </si>
  <si>
    <t>Ener Trade shpk</t>
  </si>
  <si>
    <t>54X-10 IET091118</t>
  </si>
  <si>
    <t>21.12.2018</t>
  </si>
  <si>
    <t>Blerje GETA</t>
  </si>
  <si>
    <t>Diferenca</t>
  </si>
  <si>
    <t>Konsumi i klienteve në treg të hapur te lidhur ne Transmetim</t>
  </si>
  <si>
    <t>FMF</t>
  </si>
  <si>
    <t>LEGJENDA</t>
  </si>
  <si>
    <t>FURNIZUES I MUNDËSISË SË FUNDIT</t>
  </si>
  <si>
    <t>Humbjet teknike ne nenstacionet e TL</t>
  </si>
  <si>
    <t>Humbjet teknike në zonat e shpërndarjes</t>
  </si>
  <si>
    <t>Humbjet teknike Totale</t>
  </si>
  <si>
    <t>Humbjet jo-teknike Totale</t>
  </si>
  <si>
    <t>Humbjet  Totale</t>
  </si>
  <si>
    <t xml:space="preserve"> ENERGJI TOTAL NË OSSH</t>
  </si>
  <si>
    <t>“Hydro Seta” sh.p.k</t>
  </si>
  <si>
    <t>Hec Seta 1+2</t>
  </si>
  <si>
    <t>Hec Seta 3</t>
  </si>
  <si>
    <t>Hec Seta 4</t>
  </si>
  <si>
    <t>HEC Lashkiza shpk</t>
  </si>
  <si>
    <t>Hec Lashkiza 1</t>
  </si>
  <si>
    <t>Hec Lashkiza 2</t>
  </si>
  <si>
    <t>“PURE ENERGY STEBLEVA” shpk</t>
  </si>
  <si>
    <t>”HEC-i Dragostunje” shpk</t>
  </si>
  <si>
    <t>"EnRel Hydro" shpk</t>
  </si>
  <si>
    <t>“BLAC ENERGY” sh.p.k</t>
  </si>
  <si>
    <t>“EDIANI” sh.p.k.</t>
  </si>
  <si>
    <t>Hidro Vizion shpk (I pa licens nga ERE)</t>
  </si>
  <si>
    <t>Hec Razdoll</t>
  </si>
  <si>
    <t>Hec Dragostunje</t>
  </si>
  <si>
    <t>Hec Stebleve</t>
  </si>
  <si>
    <t>Hec Zerec 1</t>
  </si>
  <si>
    <t>Hec Zerec 2</t>
  </si>
  <si>
    <t>Hec Shëngjon 1</t>
  </si>
  <si>
    <t>Hec Shëngjon 2</t>
  </si>
  <si>
    <t>Seman – 2</t>
  </si>
  <si>
    <t xml:space="preserve">“SEMAN2SUN” sh.p.k </t>
  </si>
  <si>
    <t>Topojë</t>
  </si>
  <si>
    <t xml:space="preserve">“SONNE” sh.p.k </t>
  </si>
  <si>
    <t>Topojë 2</t>
  </si>
  <si>
    <t xml:space="preserve">“AED SOLAR” sh.p.k </t>
  </si>
  <si>
    <t>Topojë (Sheq Marinas)</t>
  </si>
  <si>
    <t xml:space="preserve">“AGE SUNPOWER” sh.p.k </t>
  </si>
  <si>
    <t>Topojë (Sheq Marinas) 2</t>
  </si>
  <si>
    <t xml:space="preserve">“SEMAN  SUNPOWER” sh.p.k </t>
  </si>
  <si>
    <t>CENTRAL FOTOVOLTAIK</t>
  </si>
  <si>
    <t>UKKO  (pa sistemuarne sistem)</t>
  </si>
  <si>
    <t>FOTOVOLTAIK</t>
  </si>
  <si>
    <t>HC.Priv/Kon + CENTR Fotovoltaikë ne Rrjetin e  OSHEE</t>
  </si>
  <si>
    <t>Prodhimi i Centraleve Fotovoltaike</t>
  </si>
  <si>
    <t>N/ST i GSA EL 110kV-T2/960</t>
  </si>
  <si>
    <t>N/ST i AES EL 110kV-T1/690</t>
  </si>
  <si>
    <t>N/ST I AES EL 110kV-T2/692</t>
  </si>
  <si>
    <t>FATURIM-ARKETIMET DHE NDRYSHIMI I GJENDJES DEBITORE GJTE VITIT 2019   (000/LEKE)</t>
  </si>
  <si>
    <t>Viti 2019</t>
  </si>
  <si>
    <t xml:space="preserve">Faturuar 2019  </t>
  </si>
  <si>
    <t xml:space="preserve">arketimi per faturat e 2019 </t>
  </si>
  <si>
    <t xml:space="preserve">Arketimi per faturat e 2007-2018 </t>
  </si>
  <si>
    <t>Te Arketueshme per energjine e faturuar ne vitin 2019</t>
  </si>
  <si>
    <t>Ndryshimi I gjendjes se Llogarive te arketueshme gjate vitit 2019</t>
  </si>
  <si>
    <t>ENERGJI ASHTA</t>
  </si>
  <si>
    <t>Prodhim HEC ASHTA</t>
  </si>
  <si>
    <t>DANSKE COMMODITIES</t>
  </si>
  <si>
    <t>Shitje ReNRGY</t>
  </si>
  <si>
    <t>Energy Supply - AL</t>
  </si>
  <si>
    <t>Prodhimi/Konsumi</t>
  </si>
  <si>
    <t xml:space="preserve">Prodhim HEC-et </t>
  </si>
  <si>
    <t>ALPIQ</t>
  </si>
  <si>
    <t xml:space="preserve">AXPO ALBANIA </t>
  </si>
  <si>
    <t xml:space="preserve">ReNRGY                             </t>
  </si>
  <si>
    <t xml:space="preserve">ENERGIA GAS AND POWER ALBANIA                                  </t>
  </si>
  <si>
    <t>T,F</t>
  </si>
  <si>
    <t>54X-11LKE250319U</t>
  </si>
  <si>
    <t>25.03.2019</t>
  </si>
  <si>
    <t>Hec Rreshen</t>
  </si>
  <si>
    <t>HEC Blaç</t>
  </si>
  <si>
    <t>HEC Qarrishtë</t>
  </si>
  <si>
    <t>"IDI-2005" SHPK</t>
  </si>
  <si>
    <t>HEC Vendresh</t>
  </si>
  <si>
    <t>"HP VENDRESH ENERGY" SHPK</t>
  </si>
  <si>
    <t>HEC "Antena"</t>
  </si>
  <si>
    <t>"DERBI-E" shpk</t>
  </si>
  <si>
    <t>HEC "Kamenicë"</t>
  </si>
  <si>
    <t>HP Kamenica shpk</t>
  </si>
  <si>
    <t>HEC "Qytezë"</t>
  </si>
  <si>
    <t>Muso hec Qytezë</t>
  </si>
  <si>
    <t>HEC Marjan Gura e Vesheve</t>
  </si>
  <si>
    <t>Marituda Shpk</t>
  </si>
  <si>
    <t>HEC Skatinë</t>
  </si>
  <si>
    <t>Skatina Hec Shpk</t>
  </si>
  <si>
    <t>HEC Kaparjel</t>
  </si>
  <si>
    <t>ABV Konstruksion Shpk</t>
  </si>
  <si>
    <t>HEC Letaj</t>
  </si>
  <si>
    <t>Asi-Tre Shpk</t>
  </si>
  <si>
    <t>HEC Nice</t>
  </si>
  <si>
    <t>MP-HEC Shpk</t>
  </si>
  <si>
    <t>HEC Meshurdhe</t>
  </si>
  <si>
    <t>SIMA-Com Shpk</t>
  </si>
  <si>
    <t>HEC Thanez</t>
  </si>
  <si>
    <t>AFRIMI K Shpk</t>
  </si>
  <si>
    <t>HEC OSOJE</t>
  </si>
  <si>
    <t xml:space="preserve">Hec Voskopoje </t>
  </si>
  <si>
    <t xml:space="preserve">Hec Nderfushas </t>
  </si>
  <si>
    <t>Seman1solar</t>
  </si>
  <si>
    <t xml:space="preserve">" SEMAN1SOLAR " sh.p.k </t>
  </si>
  <si>
    <t>Tren Bilisht</t>
  </si>
  <si>
    <t xml:space="preserve">" RTS " sh.p.k </t>
  </si>
  <si>
    <t xml:space="preserve">“AEE” sh.p.k </t>
  </si>
  <si>
    <t>10 kv</t>
  </si>
  <si>
    <t>EL220-L220KURUM/337</t>
  </si>
  <si>
    <t>F.Arrez-T3/653</t>
  </si>
  <si>
    <t>Titan T1,T2</t>
  </si>
  <si>
    <t>FUSHE KRUJE 220kV-T2/058</t>
  </si>
  <si>
    <t>N/ST 220/6,3Colacent-T1/336</t>
  </si>
  <si>
    <t>N/ST i GSA EL 110kV-T1/694</t>
  </si>
  <si>
    <t>HEC Moglice T1,T2,T3</t>
  </si>
  <si>
    <t>HEC Peshqesh-T1/633</t>
  </si>
  <si>
    <t>Lajthiza T1/742</t>
  </si>
  <si>
    <t>HEC Ashta1-T1,HEC Ashta2-T1,</t>
  </si>
  <si>
    <t>HEC Banje T1,T2</t>
  </si>
  <si>
    <t>HEC Fang-T1,T2.</t>
  </si>
  <si>
    <t>TEC Ballsh-T1/598</t>
  </si>
  <si>
    <t>FERRO KROM-F1,F2,F3,F4</t>
  </si>
  <si>
    <t>111 kV</t>
  </si>
  <si>
    <t>Moglice</t>
  </si>
  <si>
    <t>Neto Moglica</t>
  </si>
  <si>
    <t>Energjia e faturuar ne [MWh]</t>
  </si>
  <si>
    <t>HEC MOGLICE (prodhues i pavarur)</t>
  </si>
  <si>
    <t>Klientene treg te hapur (TL) (+Tec Ballsh)</t>
  </si>
  <si>
    <t>Energji nga Hec-et  Lokale  levruar ne Rrjetin e Transmetimit (me ngritje)</t>
  </si>
  <si>
    <t>OSOJA HPP shpk</t>
  </si>
  <si>
    <t>FAVINA 1 shpk</t>
  </si>
  <si>
    <t>SGD Energji shpk</t>
  </si>
  <si>
    <t>Nikolli Energy shpk</t>
  </si>
  <si>
    <t>Hec "Moglice" me fuqi 184 MW</t>
  </si>
  <si>
    <t>HEC Darsi 1,2,3</t>
  </si>
  <si>
    <t>HEC Egnatia</t>
  </si>
  <si>
    <t>REMI shpk</t>
  </si>
  <si>
    <t>Henz Energy shpk</t>
  </si>
  <si>
    <t>Kapaciteti Instaluar i gjithe prodhuesve</t>
  </si>
  <si>
    <t>Prodhimi Hec Moglica</t>
  </si>
  <si>
    <t>FATURIM-ARKETIMET DHE NDRYSHIMI I GJENDJES DEBITORE GJTE VITIT 2020   (000/LEKE)</t>
  </si>
  <si>
    <t>31.12.2019</t>
  </si>
  <si>
    <t>Viti 2020</t>
  </si>
  <si>
    <t>Prodhim Devolli HP</t>
  </si>
  <si>
    <t>Shitje FTL</t>
  </si>
  <si>
    <t>Shitje ENER TRADE</t>
  </si>
  <si>
    <t xml:space="preserve">Shitje FTL </t>
  </si>
  <si>
    <t xml:space="preserve">Shitje </t>
  </si>
  <si>
    <t xml:space="preserve">Blerje </t>
  </si>
  <si>
    <t>ENSCO Trading</t>
  </si>
  <si>
    <t>ENER TRADE</t>
  </si>
  <si>
    <t>Blerje Ayen Energy Trading</t>
  </si>
  <si>
    <t xml:space="preserve"> Blerje ne Treg të Liberalizuar nga FTL</t>
  </si>
  <si>
    <t>HC.Priv/Kon ne Rrjetin e  OSSH për FTL</t>
  </si>
  <si>
    <t>HC.Priv/Kon ne Rrjetin e  OST për FTL</t>
  </si>
  <si>
    <t>Prodhues te pavarur</t>
  </si>
  <si>
    <t>Energji per FSHU  nga KESH sha</t>
  </si>
  <si>
    <t>Energji e siguruar nga FTL</t>
  </si>
  <si>
    <t xml:space="preserve">Prodhuar nga PPE në rrjetin e OSSH </t>
  </si>
  <si>
    <t xml:space="preserve">Prodhuar nga PPE ne rrjetin e OST </t>
  </si>
  <si>
    <t>Energji për humbjet OSSH</t>
  </si>
  <si>
    <t>Klient te Sherbimit Universal</t>
  </si>
  <si>
    <t>Energji nga FTL per FSHU</t>
  </si>
  <si>
    <t>Konsumi i klientëve Tarifore</t>
  </si>
  <si>
    <t>Konsumi i klientëve të furnizuar si FMF</t>
  </si>
  <si>
    <t>Konsumuar nga Klientet  e lidhur në OST</t>
  </si>
  <si>
    <t>Konsumi për mbulimin e humbjeve</t>
  </si>
  <si>
    <t>Konsumi i Klientëve që përdorin rrjetin për energjine e blerë ne treg të liberalizuar</t>
  </si>
  <si>
    <t>Energji për FSHU</t>
  </si>
  <si>
    <t>Energji nga KESH per FSHU</t>
  </si>
  <si>
    <t>Energji për Klientet ne treg të liberalizuar lidhur në OSSH me furnizues FTL</t>
  </si>
  <si>
    <t>Energji në hyrje dhe dalje (transmetuar) për klientet ne treg te liberalizuar e të lidhur ne rrjetin e OSSH</t>
  </si>
  <si>
    <t>Konsumuar Tec Ballshi</t>
  </si>
  <si>
    <t xml:space="preserve">Blerje Neto (Selit) </t>
  </si>
  <si>
    <t>Blerje HC.Priv/Kon ne Rrjetin e  OSSH për FTL</t>
  </si>
  <si>
    <t>Blerje FOTOVOLTAIK</t>
  </si>
  <si>
    <t>Blerje HC.Priv/Kon ne Rrjetin e  OST për FTL</t>
  </si>
  <si>
    <t>Blerje Neto Ashta</t>
  </si>
  <si>
    <t>ProdhImi neto publik</t>
  </si>
  <si>
    <t>Blere nga Prodhimi i PPE në rrjetin e OSSH</t>
  </si>
  <si>
    <t>Blere nga Prodhimi i PPE në rrjetin e OST</t>
  </si>
  <si>
    <t>Blere ne Treg të Liberalizuar nga FTL sha</t>
  </si>
  <si>
    <t>Energji vetem per tu transmetuar tek klientet ne treg te liberalizuar  (ne rrjetin e OSSH)</t>
  </si>
  <si>
    <t>Energji nga FTL për humbjet OSSH</t>
  </si>
  <si>
    <t>Energji e shitur nga FTL ne treg te liberalizuar</t>
  </si>
  <si>
    <t>ENERGJI NE HYRJE E BLERE NGA FTL (OSHEE sha)</t>
  </si>
  <si>
    <t>Energji e shitur nga KESH sha per FSHU sha</t>
  </si>
  <si>
    <t>Energjia e ngitur ne rrjetin e transmetimit nga centralet e lidhura ne rrjetin e OSSH</t>
  </si>
  <si>
    <t>ENERGJI QE KALON NE RRJETIN E OSSH-se</t>
  </si>
  <si>
    <t>Humbje totale ne rrjetin e OSSH-se ( %)</t>
  </si>
  <si>
    <t>2+3+7.6</t>
  </si>
  <si>
    <t>4.2+2+4.1+7.4+7.5+7.6</t>
  </si>
  <si>
    <t>7.1 x 100 / 7</t>
  </si>
  <si>
    <t xml:space="preserve">ENERGJI TOTALE E HYRE NE RRJETIN E OSSH-se </t>
  </si>
  <si>
    <t>Energji e tranmetuar direkt ne rrjetin e OSSH</t>
  </si>
  <si>
    <t>Energji e transmetuar ne rrjetin e Shperndarjes nga OST</t>
  </si>
  <si>
    <t>Prodhimi Neto KESH sha.</t>
  </si>
  <si>
    <t>HUMBJE TEKNIKE NE ZONAT E OSSH</t>
  </si>
  <si>
    <t>TOTALI I HUMBJEVE TEKNIKE OSSH</t>
  </si>
  <si>
    <t>HUMBJE JOTOKNIKE OSSH</t>
  </si>
  <si>
    <t>TOTALI I HUMBJEVE OSSH</t>
  </si>
  <si>
    <t>Te arketueshme</t>
  </si>
  <si>
    <t>HEC KASKADA GJADER T1/344</t>
  </si>
  <si>
    <t>HEC Seka &amp; Zais/684</t>
  </si>
  <si>
    <t>HEC-et Dragobia&amp;Ceremi/686</t>
  </si>
  <si>
    <t>SEKA Hydopower shpk</t>
  </si>
  <si>
    <t>Hec Kamican</t>
  </si>
  <si>
    <t>Hec Vardar</t>
  </si>
  <si>
    <t>Hec Miraka</t>
  </si>
  <si>
    <t>Hec Dukona</t>
  </si>
  <si>
    <t>Hec Muras</t>
  </si>
  <si>
    <t>Hec Trojet</t>
  </si>
  <si>
    <t>Hec Deni</t>
  </si>
  <si>
    <t>Hec Stavec</t>
  </si>
  <si>
    <t xml:space="preserve">Hec Gurra </t>
  </si>
  <si>
    <t>Uleza Ndertim shpk</t>
  </si>
  <si>
    <t>Hec Vile</t>
  </si>
  <si>
    <t>Hydro Power Panariti shpk</t>
  </si>
  <si>
    <t>Dukona shpk</t>
  </si>
  <si>
    <t>Hec Prevalli</t>
  </si>
  <si>
    <t>Gega-G shpk</t>
  </si>
  <si>
    <t>HEC Camerice</t>
  </si>
  <si>
    <t>Rei Energy shpk</t>
  </si>
  <si>
    <t xml:space="preserve">Hec Stror </t>
  </si>
  <si>
    <t>Era Hydro shpk</t>
  </si>
  <si>
    <t>Hec Mivas</t>
  </si>
  <si>
    <t>Elva 2001 shpk</t>
  </si>
  <si>
    <t>Hec Spathare</t>
  </si>
  <si>
    <t>Lucente concensionare shpk</t>
  </si>
  <si>
    <t>Kuarci Blace shpk</t>
  </si>
  <si>
    <t>Hec Shegjun</t>
  </si>
  <si>
    <t>Irarba Energji shpk</t>
  </si>
  <si>
    <t>hec Dobrunje</t>
  </si>
  <si>
    <t>W.T.S. Energji shpk</t>
  </si>
  <si>
    <t>ES 2019  sh,p,k</t>
  </si>
  <si>
    <t>SMART WATT sh,p,k</t>
  </si>
  <si>
    <t>AL-KS Kosovo - IN</t>
  </si>
  <si>
    <t>AL-KS Kosovo - OUT</t>
  </si>
  <si>
    <t>AYEN Energy Trading</t>
  </si>
  <si>
    <t>Blerje Danske Commodities</t>
  </si>
  <si>
    <t>Blerje ENER TRADE</t>
  </si>
  <si>
    <t>Shitje Power and Gas Operation</t>
  </si>
  <si>
    <t>Blerje FTL</t>
  </si>
  <si>
    <t>Shitje EZ-5 Energy</t>
  </si>
  <si>
    <t>Blerje Devoll HPP</t>
  </si>
  <si>
    <t>Shitje Devoll HPP</t>
  </si>
  <si>
    <t>Shitje Ayen Energy Trading</t>
  </si>
  <si>
    <t>Blerje ReNRGY</t>
  </si>
  <si>
    <t>Blerje AXPO</t>
  </si>
  <si>
    <t>Blerje Ener Trade</t>
  </si>
  <si>
    <t>Shitje Ener Trade</t>
  </si>
  <si>
    <t>Shitje NOA Energy</t>
  </si>
  <si>
    <t>Blerje EnerTrade</t>
  </si>
  <si>
    <t>Blerje ReNRGY Trading</t>
  </si>
  <si>
    <t>Shitje ReNRGY Trading</t>
  </si>
  <si>
    <t>EZ-5 ENERGY</t>
  </si>
  <si>
    <t>Shitje Energia Gas and Power</t>
  </si>
  <si>
    <t>Shitje Danske</t>
  </si>
  <si>
    <t>Blerje Dasnke</t>
  </si>
  <si>
    <t>Blerje Energia Gas and Power</t>
  </si>
  <si>
    <t>Shitje AXPO</t>
  </si>
  <si>
    <t>KESH sh.a.</t>
  </si>
  <si>
    <t>Shitje Danske Commodities</t>
  </si>
  <si>
    <t xml:space="preserve">Blerje ENER TRADE </t>
  </si>
  <si>
    <t xml:space="preserve">Blerje Danske Commodities </t>
  </si>
  <si>
    <t xml:space="preserve">Blerje GSA </t>
  </si>
  <si>
    <t>Blerje DEVOLL HP</t>
  </si>
  <si>
    <t>Blerje NOA Energy</t>
  </si>
  <si>
    <t>Burimi: OSSH sha / (OSHEE Group sha)</t>
  </si>
  <si>
    <t>ASI TRE shpk</t>
  </si>
  <si>
    <t>Troijet Energji shpl</t>
  </si>
  <si>
    <t>Mateo&amp; Co shpk</t>
  </si>
  <si>
    <t>IGI 2005 shpk</t>
  </si>
  <si>
    <t>Gerti shpk</t>
  </si>
  <si>
    <t>Koka Ergi Stavec shpk</t>
  </si>
  <si>
    <t>HEC ARSTI</t>
  </si>
  <si>
    <t>Hec Arsti shpk</t>
  </si>
  <si>
    <t>S.P.E. Gjader shpk</t>
  </si>
  <si>
    <t>Dragobia Energy shpk</t>
  </si>
  <si>
    <t>A</t>
  </si>
  <si>
    <t>A=A.1+A.3-A1.7</t>
  </si>
  <si>
    <t>A.1</t>
  </si>
  <si>
    <t>Energji e transmetuar nepermjet OST per llogari te OSHEE Sh.a</t>
  </si>
  <si>
    <t>A.1.1</t>
  </si>
  <si>
    <t>Nga KESH -Gen nepermjet OST</t>
  </si>
  <si>
    <t>A.1.2</t>
  </si>
  <si>
    <t>Nga OST si import i OSHEE Sh.a</t>
  </si>
  <si>
    <t>A.1.3</t>
  </si>
  <si>
    <t>A.1.4</t>
  </si>
  <si>
    <t>A.1.5</t>
  </si>
  <si>
    <t>Nga TEC VLORA nepermjet OST</t>
  </si>
  <si>
    <t>n/a</t>
  </si>
  <si>
    <t>A.1.6</t>
  </si>
  <si>
    <t>Nga Bistrica 1,2 nepermjet OST</t>
  </si>
  <si>
    <t>A.1.7</t>
  </si>
  <si>
    <t xml:space="preserve">Export OSHEE Group Sh.a </t>
  </si>
  <si>
    <t>A.2</t>
  </si>
  <si>
    <t>Energji elektrike e injektuar ne OST nga Hec-et Lokale</t>
  </si>
  <si>
    <t>A.3</t>
  </si>
  <si>
    <t>Energji e transmetuar direkt ne rrjetin e OSHEE Sh.a</t>
  </si>
  <si>
    <t>A.3.1</t>
  </si>
  <si>
    <t>HEC Ulez,Lanabregas</t>
  </si>
  <si>
    <t>A.3.2</t>
  </si>
  <si>
    <t>Impjantet Private/me Koncesion</t>
  </si>
  <si>
    <t>A.3.3</t>
  </si>
  <si>
    <t>Burimet e Rinovueshme Fotovoltaik (BRE)</t>
  </si>
  <si>
    <t>B</t>
  </si>
  <si>
    <t>Energji Totale ne Rrjetin e Shperndarjes (MWh)</t>
  </si>
  <si>
    <t>B=A+ A.1.3+A.2</t>
  </si>
  <si>
    <t>C</t>
  </si>
  <si>
    <t>Humbjet Totale ne Rrjetin e Shperndarjes (MWh)</t>
  </si>
  <si>
    <t>C=C.1+C.2+C.3</t>
  </si>
  <si>
    <t>C.1</t>
  </si>
  <si>
    <t>C.2</t>
  </si>
  <si>
    <t>C.3</t>
  </si>
  <si>
    <t>Humbjet Totale ne OSHEE Sh.a (%)</t>
  </si>
  <si>
    <t>C.1= C/B</t>
  </si>
  <si>
    <t>C.1.1</t>
  </si>
  <si>
    <t>C.2.1</t>
  </si>
  <si>
    <t>C.3.1</t>
  </si>
  <si>
    <t xml:space="preserve">Energjia e përdorur në Rrjetin e Shpërndarjes </t>
  </si>
  <si>
    <t>D=Sum(D.1:D.7)</t>
  </si>
  <si>
    <t>D.1</t>
  </si>
  <si>
    <t>Shitur Klienteve FMF (MWh)</t>
  </si>
  <si>
    <t>D.1=D.1.1+D.1.2</t>
  </si>
  <si>
    <t>D.1.1</t>
  </si>
  <si>
    <t>D.1.2</t>
  </si>
  <si>
    <t>D.2</t>
  </si>
  <si>
    <t>Shitur Klienteve Private (MWh)</t>
  </si>
  <si>
    <t>D.2= D.2.1+D.2.2+D.2.3</t>
  </si>
  <si>
    <t>D.2.1</t>
  </si>
  <si>
    <t>Shitur nga rrjeti i Transmetimit per llogari te OSHEE Sh.a</t>
  </si>
  <si>
    <t>D.2.2</t>
  </si>
  <si>
    <t>Shitur per nevoja te veta te OSHEE Sh.a</t>
  </si>
  <si>
    <t>D.2.3</t>
  </si>
  <si>
    <t>Shitur Klienteve Private  (pa ate per nevoja te veta dhe Ne TL)</t>
  </si>
  <si>
    <t>D.3</t>
  </si>
  <si>
    <t>Shitur Klienteve JoBuxhetore (MWh)</t>
  </si>
  <si>
    <t>D.4</t>
  </si>
  <si>
    <t>Shitur Klienteve Buxhetore (MWh)</t>
  </si>
  <si>
    <t>D.5</t>
  </si>
  <si>
    <t>Shitur Klienteve Familjare (MWh)</t>
  </si>
  <si>
    <t>D.5=D.5.1+D.5.2</t>
  </si>
  <si>
    <t>D.5.1</t>
  </si>
  <si>
    <t>Shitur Klienteve Familjare  (MWh)</t>
  </si>
  <si>
    <t>D.5.2</t>
  </si>
  <si>
    <t>Shitur Klienteve Familjare  per Ambjentet e Perbashketa</t>
  </si>
  <si>
    <t>D.6</t>
  </si>
  <si>
    <t xml:space="preserve">Energji elektrike e injektuar ne OST nga Hec-et Lokale </t>
  </si>
  <si>
    <t>D.6=A.2</t>
  </si>
  <si>
    <t>D.7</t>
  </si>
  <si>
    <t>Energji elektrike e perdorur nga klientet ne treg te parregulluar</t>
  </si>
  <si>
    <t>E</t>
  </si>
  <si>
    <t>Faturuar muaji Parardhes  (000/leke)</t>
  </si>
  <si>
    <t>Arketimet e muajit aktual (000 leke)</t>
  </si>
  <si>
    <t>G=F.1+F.2+F.3+F.4</t>
  </si>
  <si>
    <t>F.1</t>
  </si>
  <si>
    <t>F.3</t>
  </si>
  <si>
    <t>F.4</t>
  </si>
  <si>
    <t>Arketimet e muajit aktual (%)</t>
  </si>
  <si>
    <t>F.1=F/E</t>
  </si>
  <si>
    <t>F.1.1</t>
  </si>
  <si>
    <t>F.1.1=F.1/E</t>
  </si>
  <si>
    <t>F.1.3</t>
  </si>
  <si>
    <t>F.1.3=F.3/E</t>
  </si>
  <si>
    <t>F.1.4</t>
  </si>
  <si>
    <t>F.1.4=F.4/E</t>
  </si>
  <si>
    <t>G</t>
  </si>
  <si>
    <t>Faturuar muaji Raportues (000/leke)</t>
  </si>
  <si>
    <t>Nr. Konsumatoreve gjithsej  (Nr.)</t>
  </si>
  <si>
    <t>Sasia e faturuar si dem ekonomik (MWh)</t>
  </si>
  <si>
    <t>Shitur klienteve si dem ekonomik</t>
  </si>
  <si>
    <t>Eksport FTL</t>
  </si>
  <si>
    <t>Kliente te FTL ne treg te Liberalizuar</t>
  </si>
  <si>
    <t>4.1+4.2+4.3+4.4+4.5</t>
  </si>
  <si>
    <t>Eksport i FTL</t>
  </si>
  <si>
    <t xml:space="preserve">Faturuar 2020  </t>
  </si>
  <si>
    <t xml:space="preserve">arketimi per faturat e 2020 </t>
  </si>
  <si>
    <t xml:space="preserve">Arketimi per faturat e 2007-2019 </t>
  </si>
  <si>
    <t>Te Arketueshme per energjine e faturuar ne vitin 2020</t>
  </si>
  <si>
    <t>Ndryshimi I gjendjes se Llogarive te arketueshme gjate vitit 2020</t>
  </si>
  <si>
    <t>FATURIM-ARKETIMET DHE NDRYSHIMI I GJENDJES DEBITORE GJTE VITIT 2021   (000/LEKE)</t>
  </si>
  <si>
    <t>Viti 2021</t>
  </si>
  <si>
    <t xml:space="preserve">Faturuar 2021  </t>
  </si>
  <si>
    <t xml:space="preserve">arketimi per faturat e 2021 </t>
  </si>
  <si>
    <t xml:space="preserve">Arketimi per faturat e 2007-2020 </t>
  </si>
  <si>
    <t>Te Arketueshme per energjine e faturuar ne vitin 2021</t>
  </si>
  <si>
    <t>Ndryshimi I gjendjes se Llogarive te arketueshme gjate vitit 2021</t>
  </si>
  <si>
    <t>31.12.2020</t>
  </si>
  <si>
    <t>Burimi FSHU (OSHEE Group sha)</t>
  </si>
  <si>
    <t>28.1.2020</t>
  </si>
  <si>
    <t>Operatori i Sistemit të Shpërndarjes - OSSH sh.a.</t>
  </si>
  <si>
    <t>19.02.2020</t>
  </si>
  <si>
    <t>Power and Gas Operations</t>
  </si>
  <si>
    <t>54X-10IPG2307196</t>
  </si>
  <si>
    <t>23.07.2019</t>
  </si>
  <si>
    <t>ENSCO Trading (Albania) sh.p.k</t>
  </si>
  <si>
    <t>54X-110IESA1019G</t>
  </si>
  <si>
    <t>02.12.2019</t>
  </si>
  <si>
    <t>KESH sh.a</t>
  </si>
  <si>
    <t>16.12.2019</t>
  </si>
  <si>
    <t>Furnizuesi i Tregut të Lirë - FTL sh.a.</t>
  </si>
  <si>
    <t>54X-1010IFT0220P</t>
  </si>
  <si>
    <t>Furnizuesi i Shërbimit Universal - FSHU sh.a.</t>
  </si>
  <si>
    <t>54X-0101IFSH022Q</t>
  </si>
  <si>
    <t>EZ-5 Energy shpk</t>
  </si>
  <si>
    <t>54X-10101FT022OP</t>
  </si>
  <si>
    <t>27.03.2021</t>
  </si>
  <si>
    <t>Tec Ballshi perfshire</t>
  </si>
  <si>
    <t>nga ost Tec Ballsh</t>
  </si>
  <si>
    <t>ENERGJI E KONSUMUAR NE RRJETIN E SHPERNDARJES</t>
  </si>
  <si>
    <t>ENERGJI E KONSUMUAR NE SHQIPERI</t>
  </si>
  <si>
    <t>Konsumuar Klientet lidhur në OST(+Ballsh)</t>
  </si>
  <si>
    <t>ENERGJI E KONSUMUAR NE RRJETIN E TRANSMETIMIT</t>
  </si>
  <si>
    <t>MAJ</t>
  </si>
  <si>
    <t>Hec Kalis</t>
  </si>
  <si>
    <t>Hec Gjinar</t>
  </si>
  <si>
    <t>Hec Backa 1</t>
  </si>
  <si>
    <t>Hec Plepi</t>
  </si>
  <si>
    <t>Hec Zall Xhuxhe</t>
  </si>
  <si>
    <t>54X-L-1010H-LENU</t>
  </si>
  <si>
    <t>09.07.2021</t>
  </si>
  <si>
    <t>3.1+3.2+3.3+3.4</t>
  </si>
  <si>
    <t>Situr Fam,Priv,Bughet,JoBuxh.</t>
  </si>
  <si>
    <t>Mosrakordim</t>
  </si>
  <si>
    <t>Transmetim nga Tec Ballshi</t>
  </si>
  <si>
    <t>Energji e transmetuar per klientet_35kV (te dal ne treg te parregulluar furnizues te tjere)</t>
  </si>
  <si>
    <t>Nga OST per llogari te klienteve te OSHEE Sh.a prodhuarnga HEC-et ne rrjetin e transmetimit</t>
  </si>
  <si>
    <t xml:space="preserve"> Pale Pergjegjese Balancuese</t>
  </si>
  <si>
    <t>QERSHOR</t>
  </si>
  <si>
    <t>Dis. Negative [MWh]</t>
  </si>
  <si>
    <t>Dis. Pozitive [MWh]</t>
  </si>
  <si>
    <t>KOSTT</t>
  </si>
  <si>
    <t>Disbalancat mujore [MWh]</t>
  </si>
  <si>
    <t>Ofruesi i Sherbimit te Balancimit</t>
  </si>
  <si>
    <t>Ulje Gjenerimi [MWh]</t>
  </si>
  <si>
    <t>Rritje Gjenerimi [MWh]</t>
  </si>
  <si>
    <t>PRODHIMI GJATE VITIT 2022 NGA CENTRALET E LIDHURA NE RRJETIN E TRANSMETIMIT  (MWh)</t>
  </si>
  <si>
    <t>Hec Qami-1</t>
  </si>
  <si>
    <t>"Lajthiza Invest "shpk</t>
  </si>
  <si>
    <t xml:space="preserve">HEC Veleshica 1,2 </t>
  </si>
  <si>
    <t>"Kalisi Hydropower"shpk</t>
  </si>
  <si>
    <t>PRODHIMI GJATE VITIT 2022 NGA CENTRALET E LIDHURA NE RRJETIN E SHPERNDARJES  (MWh)</t>
  </si>
  <si>
    <t>ERDY  Energy shpk</t>
  </si>
  <si>
    <t>Erdi Gas shpk</t>
  </si>
  <si>
    <t>Kroi Mbret shpk</t>
  </si>
  <si>
    <t>Domi Tec shpk</t>
  </si>
  <si>
    <t>Hec Pisha</t>
  </si>
  <si>
    <t>Green TECH energy systems</t>
  </si>
  <si>
    <t>Hec Lingjanca1&amp;2</t>
  </si>
  <si>
    <t>"Rei-Energji"shpk</t>
  </si>
  <si>
    <t>Hec  Guri i Zi</t>
  </si>
  <si>
    <t>"Aris Albania"shpk</t>
  </si>
  <si>
    <t>Hec Drita</t>
  </si>
  <si>
    <t>"Brecani R.O.S.P." shpk</t>
  </si>
  <si>
    <t>PRODHIMI GJATE VITIT 2022 NGA CENTRALET FOTOVOLTAIKE TË LIDHURA NE RRJETIN E SHPERNDARJES  (MWh)</t>
  </si>
  <si>
    <t>STATKRAFT Renewbles  albani PV Lundrues banje</t>
  </si>
  <si>
    <t>"STATKRAFT"</t>
  </si>
  <si>
    <t>Burimi: OST sha; KESH sha; OSSH sha; FTL sha; (OSHEE Group sha)</t>
  </si>
  <si>
    <t>Hec Qami</t>
  </si>
  <si>
    <t>Ballanca në interkoneksion (marrje)</t>
  </si>
  <si>
    <t>N/ST I CWI Albania T1/148</t>
  </si>
  <si>
    <t>Qami</t>
  </si>
  <si>
    <t>NIVELI I FIERZES   1991-2022</t>
  </si>
  <si>
    <t>KLIENTET NE TL</t>
  </si>
  <si>
    <t>KLIENTET E "KUALIFIKUAR" PER VITIN 2022</t>
  </si>
  <si>
    <t>Burimi: OST sha</t>
  </si>
  <si>
    <t xml:space="preserve">Devijimet ne Programin e Interkoneksionit 2022 (MWh) </t>
  </si>
  <si>
    <t>01.01.2022-31.01.2022</t>
  </si>
  <si>
    <t>01.02.2022-28.02.2022</t>
  </si>
  <si>
    <t>01.03.2022-31.03.2022</t>
  </si>
  <si>
    <t>01.03.2022-18.03.2022</t>
  </si>
  <si>
    <t>19.03.2022-31.03.22022</t>
  </si>
  <si>
    <t>01.04.2022-03.04.2022</t>
  </si>
  <si>
    <t>04.04.2022-05.04.2022</t>
  </si>
  <si>
    <t>06.04.2022-15.04.2022</t>
  </si>
  <si>
    <t>16.04.2022-30.04.2022</t>
  </si>
  <si>
    <t>01.05.2022-02.05.2022</t>
  </si>
  <si>
    <t>03.05.2022-06.05.2022</t>
  </si>
  <si>
    <t>07.05.2022-12.05.2022</t>
  </si>
  <si>
    <t>13.05.2022-24.05.2022</t>
  </si>
  <si>
    <t>25.05.2022-31.05.2022</t>
  </si>
  <si>
    <t>01.06.2022-30.06.2022</t>
  </si>
  <si>
    <t>Energji Totale e Hyrë në OSHEE Sh.a (MWh)</t>
  </si>
  <si>
    <t>D.1.3</t>
  </si>
  <si>
    <t>Shitur Klienteve FMF 20/10/6 (Mwh)</t>
  </si>
  <si>
    <t>Blerje KESH ne treg te liberalizuar</t>
  </si>
  <si>
    <t>Prodhim+Blerje</t>
  </si>
  <si>
    <t>Prodhimi Hec Qami-1</t>
  </si>
  <si>
    <t>HUMBJET (SHPËRNDARJE) 2009-2022</t>
  </si>
  <si>
    <t>HUMBJET NE RRJETIN E SHPERNDARJES 2009-2022 (MWh)</t>
  </si>
  <si>
    <t>FATURIM-ARKETIMET DHE NDRYSHIMI I GJENDJES DEBITORE GJTE VITIT 2022   (000/LEKE)</t>
  </si>
  <si>
    <t>Viti 2022</t>
  </si>
  <si>
    <t xml:space="preserve">Faturuar 2022  </t>
  </si>
  <si>
    <t xml:space="preserve">arketimi per faturat e 2022 </t>
  </si>
  <si>
    <t xml:space="preserve">Arketimi per faturat e 2007-2022 </t>
  </si>
  <si>
    <t>Te Arketueshme per energjine e faturuar ne vitin 2022</t>
  </si>
  <si>
    <t>Ndryshimi I gjendjes se Llogarive te arketueshme gjate vitit 2022</t>
  </si>
  <si>
    <t>Burimi: FSHU sha / (OSHEE Group sha)</t>
  </si>
  <si>
    <t>Familjar</t>
  </si>
  <si>
    <t>Buxhetor</t>
  </si>
  <si>
    <t>JoBuxhetor</t>
  </si>
  <si>
    <t>31.12.2021</t>
  </si>
  <si>
    <t>PERFORMANCA E OPERATOTRIT TE SHPERNDARJES  2009-2022 (%)</t>
  </si>
  <si>
    <t>NIVELI I HUMBJEVE   (%) 2009-2022</t>
  </si>
  <si>
    <t>Niveli i Arketimeve   ( %)   2009-2022</t>
  </si>
  <si>
    <t>Efektiviteti i shitjeve  (%)   2009-2022</t>
  </si>
  <si>
    <t>54X-ES-AL----12Y</t>
  </si>
  <si>
    <t>25.02.2022</t>
  </si>
  <si>
    <t>54X--101H11A-IJ</t>
  </si>
  <si>
    <t xml:space="preserve">Hec Lajthiza Invest </t>
  </si>
  <si>
    <t>54X-L-1011LTF-1S</t>
  </si>
  <si>
    <t>15.03.2022</t>
  </si>
  <si>
    <t xml:space="preserve">      P</t>
  </si>
  <si>
    <t>Danske commodities Albania</t>
  </si>
  <si>
    <t>23X--121120DCALG</t>
  </si>
  <si>
    <t>30.10.2012</t>
  </si>
  <si>
    <t xml:space="preserve">      T</t>
  </si>
  <si>
    <t>Lëngarica &amp; Energy shpk</t>
  </si>
  <si>
    <t>INFO-TELECOM</t>
  </si>
  <si>
    <t>54X-I-1100-INFTI</t>
  </si>
  <si>
    <t>06.08.2021</t>
  </si>
  <si>
    <t>TIRANA INTERNATIONAL DEVELOPMEN</t>
  </si>
  <si>
    <t>54X-I-0101-TID-F</t>
  </si>
  <si>
    <t>TEODORI 2003</t>
  </si>
  <si>
    <t>54X-L-110-TE-ALU</t>
  </si>
  <si>
    <t>13.08.2021</t>
  </si>
  <si>
    <t>DITEKO sh.p.k</t>
  </si>
  <si>
    <t>54X-L-10101DIT-Y</t>
  </si>
  <si>
    <t>13.09.2021</t>
  </si>
  <si>
    <t>S.P.E. GJADER sh.p.k</t>
  </si>
  <si>
    <t>54X-L-1010-GJADJ</t>
  </si>
  <si>
    <t>18.10.2021</t>
  </si>
  <si>
    <t>AlbESP Trading &amp; Consulting sh.p.k</t>
  </si>
  <si>
    <t>54X-I-10101AESPF</t>
  </si>
  <si>
    <t>17.12.2021</t>
  </si>
  <si>
    <t xml:space="preserve">    F;T</t>
  </si>
  <si>
    <t>HEC Tervoli  sh.p.k</t>
  </si>
  <si>
    <t>54X-I-210101HTEI</t>
  </si>
  <si>
    <t>23.12.2021</t>
  </si>
  <si>
    <t>HEC BISHNICA 1.2 sh.p.k</t>
  </si>
  <si>
    <t>54X-I-10011HB12W</t>
  </si>
  <si>
    <t>ENERGAL sh.p.k</t>
  </si>
  <si>
    <t>54X-I-1111EN-ALF</t>
  </si>
  <si>
    <t xml:space="preserve">     P;T</t>
  </si>
  <si>
    <t>EURON ENERGY sh.p.k</t>
  </si>
  <si>
    <t>54X-I-0111EU-ENB</t>
  </si>
  <si>
    <t xml:space="preserve">    T;P</t>
  </si>
  <si>
    <t>Hydro-Seta sh.p.k</t>
  </si>
  <si>
    <t>54X-I-1111HS-015</t>
  </si>
  <si>
    <t xml:space="preserve">    P;T</t>
  </si>
  <si>
    <t>Alb-Energy sh.p.k</t>
  </si>
  <si>
    <t>54X-I-0101A1-EN3</t>
  </si>
  <si>
    <t>Transaksionet e  energjise elektrike te Pjesemarresve te Tregut ne [MWh] per 2022</t>
  </si>
  <si>
    <t>Blerje ENERTRADE</t>
  </si>
  <si>
    <t>Shitje GEN-I Tirana</t>
  </si>
  <si>
    <t>Blerje GEN-I Tirana</t>
  </si>
  <si>
    <t>Shitje GENI</t>
  </si>
  <si>
    <t>Blerje GENI</t>
  </si>
  <si>
    <t>Blerje NOA</t>
  </si>
  <si>
    <t>Shitje EZ-5</t>
  </si>
  <si>
    <t>Blerje NOA Energy Trading</t>
  </si>
  <si>
    <t>Blerje INFO Telecom sh.p.k.(INFO_TELECOM)</t>
  </si>
  <si>
    <t>Blerje TIRANA INTERNATIONAL DEVELOPMENT sh.a.(TID)</t>
  </si>
  <si>
    <t>Shitje INFO Telecom sh.p.k.(INFO_TELECOM)</t>
  </si>
  <si>
    <t>Shitje TIRANA INTERNATIONAL DEVELOPMENT sh.a.(TID)</t>
  </si>
  <si>
    <t xml:space="preserve">Blerje Danske Commoditites Albania </t>
  </si>
  <si>
    <t>TIRANA INTERNATIONAL DEVELOPMENT sh.a.(TID)</t>
  </si>
  <si>
    <t>INFO Telecom sh.p.k.</t>
  </si>
  <si>
    <t>AlbESP Trading &amp; Consulting shpk (AESPF)</t>
  </si>
  <si>
    <t>ADA Solar SE sh.p.k</t>
  </si>
  <si>
    <t>Blerje AYEN ENERGY TRADING</t>
  </si>
  <si>
    <t>Blerje INFO Telecom</t>
  </si>
  <si>
    <t>Blerje Tirana International Development</t>
  </si>
  <si>
    <t>Shitje INFO Telecom</t>
  </si>
  <si>
    <t>Shitje Tirana International Development</t>
  </si>
  <si>
    <t xml:space="preserve">Blerje AlbESP Trading </t>
  </si>
  <si>
    <t>Dragobia Energy sh.p.k.</t>
  </si>
  <si>
    <t>54X-I_111DRG-01W</t>
  </si>
  <si>
    <t>12.07.2022</t>
  </si>
  <si>
    <t>11.05.2022</t>
  </si>
  <si>
    <t xml:space="preserve">   T</t>
  </si>
  <si>
    <t>Future EnergyTrading and Exchange Dynamics shpk</t>
  </si>
  <si>
    <t>Ada Solar SE shpk</t>
  </si>
  <si>
    <t>54X-I-01001ADS-6</t>
  </si>
  <si>
    <t>26.04.2022</t>
  </si>
  <si>
    <t>54X-I-101FETED-J</t>
  </si>
  <si>
    <t>27.06.2022</t>
  </si>
  <si>
    <t>F,T</t>
  </si>
  <si>
    <t>KORRIK</t>
  </si>
  <si>
    <t>GUSHT</t>
  </si>
  <si>
    <t>Devoll HP Energjia Akt</t>
  </si>
  <si>
    <t>Devoll HP Energjia Shtese Akt</t>
  </si>
  <si>
    <t>Ayen AS Energji Energjia Akt</t>
  </si>
  <si>
    <t>Ayen AS Energji Energjia Shtese Akt</t>
  </si>
  <si>
    <t>KESH sh.a. Energjia Akt</t>
  </si>
  <si>
    <t>KESH sh.a. Energjia Shtese Akt</t>
  </si>
  <si>
    <t>TOTALI</t>
  </si>
  <si>
    <t>ECURIA E GJENDJES DEBITORE NDAJ OPERATORIT TË SHPËRNDARJES SIPAS KATEGORIVE 2010-2022  (000 000/LEKË)</t>
  </si>
  <si>
    <t xml:space="preserve">HEC Shpella Poshte </t>
  </si>
  <si>
    <t xml:space="preserve">Shitje AlbEsp Trading </t>
  </si>
  <si>
    <t xml:space="preserve">Blerje NOA </t>
  </si>
  <si>
    <t xml:space="preserve">Blerje  Danscke Commoditites Albania </t>
  </si>
  <si>
    <t>Blerje Danske Commoditites</t>
  </si>
  <si>
    <t>Shenime:</t>
  </si>
  <si>
    <t>1. Konsumatoret e kualifikuar per secilin subjekt ndryshojne cdo muaj ne varesi te kontratave te nenshkruara nga te dyja palet.</t>
  </si>
  <si>
    <t xml:space="preserve">2. Shenja ( - ) eshte perdorur per energjine qe hyne ne rrjet (blerje + import) ndersa shenja ( + ) per energjine qe del nga rrjeti (shitje + eksport). </t>
  </si>
  <si>
    <t>3. Cdo vlere e sipershenuar eshte e nominuar - me program (jo faktike me matje)</t>
  </si>
  <si>
    <t>TABELA ME TE DHENA PERIODIKE (MUJORE) TE OSHEE Sh.a 2022</t>
  </si>
  <si>
    <t>Progresive</t>
  </si>
  <si>
    <r>
      <rPr>
        <b/>
        <sz val="8"/>
        <color indexed="8"/>
        <rFont val="Calibri"/>
        <family val="2"/>
      </rPr>
      <t>A.1</t>
    </r>
    <r>
      <rPr>
        <sz val="8"/>
        <color indexed="8"/>
        <rFont val="Calibri"/>
        <family val="2"/>
      </rPr>
      <t>=Sum(A.1.1,A1.6)</t>
    </r>
  </si>
  <si>
    <r>
      <rPr>
        <b/>
        <sz val="8"/>
        <color indexed="8"/>
        <rFont val="Calibri"/>
        <family val="2"/>
      </rPr>
      <t>A.3</t>
    </r>
    <r>
      <rPr>
        <sz val="8"/>
        <color indexed="8"/>
        <rFont val="Calibri"/>
        <family val="2"/>
      </rPr>
      <t xml:space="preserve"> = Sum(A.3.1, A.3.3)</t>
    </r>
  </si>
  <si>
    <t>ENERGJI NE DALJE NGA FTL (OSHEE sha)</t>
  </si>
  <si>
    <t>01.07.2022-31.07.2022</t>
  </si>
  <si>
    <t>01.08.2022-12.08.2022</t>
  </si>
  <si>
    <t>13.08.2022-15.08.2022</t>
  </si>
  <si>
    <t>16.08.2022-23.08.2022</t>
  </si>
  <si>
    <t>24.08.2022-25.08.2022</t>
  </si>
  <si>
    <t>26.08.2022-31.08.2022</t>
  </si>
  <si>
    <t>Tren Sun System</t>
  </si>
  <si>
    <t>Korça Photovoltaic Park</t>
  </si>
  <si>
    <t>NTSP</t>
  </si>
  <si>
    <t>Sun Beat System</t>
  </si>
  <si>
    <t>Hidropower Electric</t>
  </si>
  <si>
    <t>M&amp;K Energy Trading Co</t>
  </si>
  <si>
    <t>Erdy Energy</t>
  </si>
  <si>
    <t>T,P</t>
  </si>
  <si>
    <t>22.08.2022</t>
  </si>
  <si>
    <t>26.08.2022</t>
  </si>
  <si>
    <t>06.08.2022</t>
  </si>
  <si>
    <t>13.09.2022</t>
  </si>
  <si>
    <t>54X-10-I-TSS-103</t>
  </si>
  <si>
    <t>54X-I-KOPP-11011</t>
  </si>
  <si>
    <t>54X-11-I-NTSP-12</t>
  </si>
  <si>
    <t>54X-I-1011-SBS-V</t>
  </si>
  <si>
    <t>54X-I-101HE1011B</t>
  </si>
  <si>
    <t>54X-L-11010MK-1S</t>
  </si>
  <si>
    <t>54X-L-101ERDY-EZ</t>
  </si>
  <si>
    <t xml:space="preserve">Energji sherbime ndihmese+disbal        </t>
  </si>
  <si>
    <t>Burimi: OST sha; KESH sha; OSSH sha; FSHU sha; FTL sha; (OSHEE Group sha)</t>
  </si>
  <si>
    <t xml:space="preserve">Burimi: OSSH sha; FSHU sha; FTL sha; </t>
  </si>
  <si>
    <t>Prodhimi nga KESH_GEN në Rrjetin e Transmetimit</t>
  </si>
  <si>
    <t>Prodhimi nga  HEC/HPP e vogla në Rrjetin e Transmetimit</t>
  </si>
  <si>
    <t>Prodhimi nga PPE/IPP e mëdha në Rrjetin e Transmetimit</t>
  </si>
  <si>
    <t>Prodhimi nga HEC Peshqesh</t>
  </si>
  <si>
    <t>Prodhimi nga HEC Banja</t>
  </si>
  <si>
    <t>Prodhimi nga HEC FANG</t>
  </si>
  <si>
    <t>Prodhimi nga HEC Moglicë</t>
  </si>
  <si>
    <t>Prodhimi nga nga HEC Ashta</t>
  </si>
  <si>
    <t xml:space="preserve">Prodhimi nga  KURUM  (Ulez-Shkopet&amp;Bistrica1,2) </t>
  </si>
  <si>
    <t>Eksporti (-) nga Linjat e Interkonjeksionit</t>
  </si>
  <si>
    <t>Importi (+) nga Linjat e Interkonjeksionit</t>
  </si>
  <si>
    <t>Balanca (Total Interkonjeksioni)</t>
  </si>
  <si>
    <t>Energjia Totale në Marrje</t>
  </si>
  <si>
    <t>Humbjet në Rrjetin e Transmetimit (përfshirë Nevojat Vetjake)</t>
  </si>
  <si>
    <t>Humbjet në Rrjetin e Transmetimit %</t>
  </si>
  <si>
    <t>Energjia Totale në Dhënie</t>
  </si>
  <si>
    <t>Transmetuar në Linjat e Interkonjeksionit</t>
  </si>
  <si>
    <t xml:space="preserve">Transmertuar tek Klientët e Kualifikuar </t>
  </si>
  <si>
    <t>Gjenerim KURUM</t>
  </si>
  <si>
    <t xml:space="preserve">Transmetuar në rrjetin e Shpërndarjes </t>
  </si>
  <si>
    <t>Transmetuar në rrjetin e Shpërndarjes 110 kV</t>
  </si>
  <si>
    <t>Transmetuar në rrjetin e Shpërndarjes 35 kV</t>
  </si>
  <si>
    <t>Transmetuar në rrjetin e Shpërndarjes 6, 10, 20 kV</t>
  </si>
  <si>
    <t>E DETAJUAR SIPAS SHOQERIVE</t>
  </si>
  <si>
    <t>JANAR 2022</t>
  </si>
  <si>
    <t>Shoqëritë</t>
  </si>
  <si>
    <t>Sasia (MWh)</t>
  </si>
  <si>
    <t>EUR/MWh</t>
  </si>
  <si>
    <t>Vlera</t>
  </si>
  <si>
    <t>TVSH</t>
  </si>
  <si>
    <t>Vlera me TVSH</t>
  </si>
  <si>
    <t>AXPO Beograd doo</t>
  </si>
  <si>
    <t xml:space="preserve">Danske Commodities </t>
  </si>
  <si>
    <t>EFT AG</t>
  </si>
  <si>
    <t>GENI Tirana shpk</t>
  </si>
  <si>
    <t>GSA shpk</t>
  </si>
  <si>
    <t>HSE doo</t>
  </si>
  <si>
    <t>Renrgy Trading Group</t>
  </si>
  <si>
    <t>TOTALE</t>
  </si>
  <si>
    <t>Shkurt 2022</t>
  </si>
  <si>
    <t>AlbEsp Trading</t>
  </si>
  <si>
    <t>EZ-5</t>
  </si>
  <si>
    <t>Info Telecom</t>
  </si>
  <si>
    <t>TID sh.p.k</t>
  </si>
  <si>
    <t>Mars 2022</t>
  </si>
  <si>
    <t>InterEnergo doo</t>
  </si>
  <si>
    <t>Prill 2022</t>
  </si>
  <si>
    <t>AlbEsp</t>
  </si>
  <si>
    <t>Maj 2022</t>
  </si>
  <si>
    <t xml:space="preserve">GEN-I Tirana </t>
  </si>
  <si>
    <t>Qershor 2022</t>
  </si>
  <si>
    <t>FUENTE</t>
  </si>
  <si>
    <t>Korrik 2022</t>
  </si>
  <si>
    <t>Danske Commodities</t>
  </si>
  <si>
    <t>Ener Trade</t>
  </si>
  <si>
    <t>Gusht 2022</t>
  </si>
  <si>
    <t>Shtator 2022</t>
  </si>
  <si>
    <t xml:space="preserve">Shoqëria </t>
  </si>
  <si>
    <t>Statusi</t>
  </si>
  <si>
    <t>Sasia</t>
  </si>
  <si>
    <t>Çmimi</t>
  </si>
  <si>
    <t>Euro/MWh</t>
  </si>
  <si>
    <t>Euro</t>
  </si>
  <si>
    <t>01-31.01.2022</t>
  </si>
  <si>
    <t>Blerje</t>
  </si>
  <si>
    <t>01-28.02.2022</t>
  </si>
  <si>
    <t>01-31.03.2022</t>
  </si>
  <si>
    <t>01-30.04.2022</t>
  </si>
  <si>
    <t>01-31.05.2022</t>
  </si>
  <si>
    <t>01-30.06.2022</t>
  </si>
  <si>
    <t>01-31.07.2022</t>
  </si>
  <si>
    <t>01-31.08.2022</t>
  </si>
  <si>
    <t>01-30.09.2022</t>
  </si>
  <si>
    <t>Blerje Kurum International</t>
  </si>
  <si>
    <t>Blerje  FUENTE DYNAMICS</t>
  </si>
  <si>
    <t>Shitje  FUENTE DYNAMICS</t>
  </si>
  <si>
    <t>SHTATOR</t>
  </si>
  <si>
    <t xml:space="preserve">Future Energy Traiding </t>
  </si>
  <si>
    <t>01.09.2022-30.09.2022</t>
  </si>
  <si>
    <t>Private</t>
  </si>
  <si>
    <t>Jo - Buxhetore</t>
  </si>
  <si>
    <t>Energji totale e transmetuar nga OST ne rrjetin e Shpërndarjes</t>
  </si>
  <si>
    <t>TETOR</t>
  </si>
  <si>
    <t>2022 (10-M)</t>
  </si>
  <si>
    <t>Hec EME</t>
  </si>
  <si>
    <t>Njësia e Matjes</t>
  </si>
  <si>
    <t>Shuma  2022 [MWh]</t>
  </si>
  <si>
    <t>11=(R-D)</t>
  </si>
  <si>
    <t>12=(1+2+3+4+5+6+7+8+9+10+R)</t>
  </si>
  <si>
    <t>14=13/12</t>
  </si>
  <si>
    <t>15=(12-13)</t>
  </si>
  <si>
    <t>16=D</t>
  </si>
  <si>
    <t>Shitje Kurum International</t>
  </si>
  <si>
    <t>Shitje FUENTE DYNAMICS</t>
  </si>
  <si>
    <t xml:space="preserve">FUTURE ENERGY TRADING AND EXCHANGE DYNAMICS </t>
  </si>
  <si>
    <t>Shitje Ayen AS Energji</t>
  </si>
  <si>
    <t>Blerje Ayen AS Energji</t>
  </si>
  <si>
    <t>DRAGOBIA ENERGY</t>
  </si>
  <si>
    <t>01.10.2022-02.10.2022</t>
  </si>
  <si>
    <t>03.10.2022-07.10.2022</t>
  </si>
  <si>
    <t>08.10.2022-09.10.2022</t>
  </si>
  <si>
    <t>10.10.2022-21.10.2022</t>
  </si>
  <si>
    <t>22.10.2022-31.10.2022</t>
  </si>
  <si>
    <t>NENTOR</t>
  </si>
  <si>
    <t>DHJETOR</t>
  </si>
  <si>
    <t>ALOKIMI I KAPACITETEVE 2022</t>
  </si>
  <si>
    <t>Blerje energji elektrike sipas detyrimit për shërbim publik të vendosur me VKM 757/2021</t>
  </si>
  <si>
    <t>01-31.10.2022</t>
  </si>
  <si>
    <t>Tetor 2022</t>
  </si>
  <si>
    <t>Ener Trade sh.p.k.</t>
  </si>
  <si>
    <t>05.10.2022</t>
  </si>
  <si>
    <t>06.10.2022</t>
  </si>
  <si>
    <t>12.10.2022</t>
  </si>
  <si>
    <t>18.10.2022</t>
  </si>
  <si>
    <t>02.11.2022</t>
  </si>
  <si>
    <t>04.11.2022</t>
  </si>
  <si>
    <t xml:space="preserve">        -  </t>
  </si>
  <si>
    <t>Hec Terfori</t>
  </si>
  <si>
    <t>Hec Borie Lura 1</t>
  </si>
  <si>
    <t>Hec Mali</t>
  </si>
  <si>
    <t>"Impianti Perpunimit te Mbetjeve Urbane te Qarkut Elbasan"</t>
  </si>
  <si>
    <t>Pv -Plug</t>
  </si>
  <si>
    <t>BILANCI ENERGJITIK  2022  (MWh)</t>
  </si>
  <si>
    <t>Nëntor</t>
  </si>
  <si>
    <t>Bilanci i Energjisë Elektrike për vitin 2022</t>
  </si>
  <si>
    <t xml:space="preserve">TË DHËNA MBI TRANSMETIMIN E ENERGJISË ELEKTRIKE  NGA OPERATORI I SISTEMIT TE TRANSMETIMIT NË SHQIPËRI  VITI 2022 (MWh) </t>
  </si>
  <si>
    <t>PARAQITJA SKEMATIKE E FLUKSEVE TE ENERGJISE NE SISTEMIN ELEKTRO-ENERGJITIK SHQIPETAR  VITI 2022 (MWh)</t>
  </si>
  <si>
    <t>01.11.2022-06.11.2022</t>
  </si>
  <si>
    <t>07.11.2022-11.11.2022</t>
  </si>
  <si>
    <t>12.11.2022-30.11.2022</t>
  </si>
  <si>
    <t>01.12.2022-31.12.2022</t>
  </si>
  <si>
    <t>DISBALANCAT 2022</t>
  </si>
  <si>
    <r>
      <t>BYLLIS Tec Ballsh</t>
    </r>
    <r>
      <rPr>
        <b/>
        <sz val="9"/>
        <color indexed="10"/>
        <rFont val="Times New Roman"/>
        <family val="1"/>
      </rPr>
      <t xml:space="preserve"> (Pa kontrate Furnizimi)</t>
    </r>
  </si>
  <si>
    <t>ENERGY 24</t>
  </si>
  <si>
    <t>01-30.11.2022</t>
  </si>
  <si>
    <t>01-31.12.2022</t>
  </si>
  <si>
    <t>Nentor 2022</t>
  </si>
  <si>
    <t>Duferco Hellas</t>
  </si>
  <si>
    <t>Renrgy Trading Group sh.p.k.</t>
  </si>
  <si>
    <t>"HEC TERFOJA" sh.p.k</t>
  </si>
  <si>
    <t>"AGETA" sh.p.k</t>
  </si>
  <si>
    <t>“TIRANA ENERGJI” sh.p.k</t>
  </si>
  <si>
    <t>"Hec EME" shpk</t>
  </si>
  <si>
    <t>31.12.2022</t>
  </si>
  <si>
    <t>Shitje</t>
  </si>
  <si>
    <t>Ayen Energy Trade</t>
  </si>
  <si>
    <t>TID shpk</t>
  </si>
  <si>
    <t>GEN-I Tirana sh.p.k.</t>
  </si>
  <si>
    <t>Noa Energy Trade sh.p.k.</t>
  </si>
  <si>
    <t>Dhjetor 2022</t>
  </si>
  <si>
    <t>Danske Commodities Albania sh.p.k.</t>
  </si>
  <si>
    <t>Fuente Dynamics</t>
  </si>
  <si>
    <t>Info-Telecom sh.p.k.</t>
  </si>
  <si>
    <t>NOA Energy Trade sh.p.k.</t>
  </si>
  <si>
    <t>SHITJET NE KUSHTET E PRURJEVE TE MEDHA TE DETAJUARA SIPAS SHOQERIVE</t>
  </si>
  <si>
    <t>SHITJET E KESH sha NE KUSHTET E PRURJEVE TE MEDHA PËR VITIN 2022</t>
  </si>
  <si>
    <t>Janar-Dhjetor</t>
  </si>
  <si>
    <t xml:space="preserve"> Shit-blerje e energjisë elektrike për optimizim financiar të shoqërisë KESH sh.a. me procedura bazuar ne rregulloren e Tregtimit</t>
  </si>
  <si>
    <t xml:space="preserve">Regjistri Pjesmarresve te Tregut (viti 2022) </t>
  </si>
  <si>
    <t>Albanian Green Energy</t>
  </si>
  <si>
    <t>54X-I---1011AGEF</t>
  </si>
  <si>
    <t>P,T,F</t>
  </si>
  <si>
    <t>Balkan Green Energy</t>
  </si>
  <si>
    <t>54X-I00001BGE--R</t>
  </si>
  <si>
    <t>P,T</t>
  </si>
  <si>
    <t>Favina 1</t>
  </si>
  <si>
    <t>54X-L-11FAV0101R</t>
  </si>
  <si>
    <t>HEC Qarr&amp;Kaltanj</t>
  </si>
  <si>
    <t>54X-L-10HQARR10G</t>
  </si>
  <si>
    <t>Osoja HPP</t>
  </si>
  <si>
    <t>54X-L-101OSOJ-1R</t>
  </si>
  <si>
    <t>Snow Energy</t>
  </si>
  <si>
    <t>54X-I10101SNE--I</t>
  </si>
  <si>
    <t>Energy 24</t>
  </si>
  <si>
    <t>54X-I-1011EN-248</t>
  </si>
  <si>
    <t>Erdat Lura</t>
  </si>
  <si>
    <t>54X-HEC-LURA-069</t>
  </si>
  <si>
    <t>Gjo-Spa Power</t>
  </si>
  <si>
    <t>54X-HEC-LAPAJ075</t>
  </si>
  <si>
    <t>Power Elektrik Slabinje</t>
  </si>
  <si>
    <t>54X-I-1010PESLAV</t>
  </si>
  <si>
    <t>HydroEnergy</t>
  </si>
  <si>
    <t>54X-I1011HEN-10Y</t>
  </si>
  <si>
    <t>Koka &amp; Ergi Energy Stavec</t>
  </si>
  <si>
    <t>54X-10101HSTAV1Z</t>
  </si>
  <si>
    <t>EZ-5 Energy</t>
  </si>
  <si>
    <t>HEC Vlushe</t>
  </si>
  <si>
    <t>54X-I-H-VLE-1018</t>
  </si>
  <si>
    <t>NRG Power</t>
  </si>
  <si>
    <t>54X-L-110-NRG-PW</t>
  </si>
  <si>
    <t xml:space="preserve">KONSUMI TOTAL 2022 </t>
  </si>
  <si>
    <t xml:space="preserve">Shkembime (hyrje)   KEK     </t>
  </si>
  <si>
    <t xml:space="preserve">Shkembime (dalje)   KEK    </t>
  </si>
  <si>
    <t>BILANCI ENERGJITIK I FTL sha, FSHU SHA DHE OSSH sha  2022 (MWh)</t>
  </si>
  <si>
    <t>Energji e transmetuar direkt ne rrjetin e Shpërndarjes nga impiantet e lidhur ne rrjetin e Shpërndarjes</t>
  </si>
  <si>
    <t>dhjetor</t>
  </si>
  <si>
    <t>nentor</t>
  </si>
  <si>
    <t>ECURIA E GJENDJES DEBITORE NDAJ OSHEE 31 DHJETOR 2009  - 31 Dhjetor 2022   ( 000 000 LEKË)</t>
  </si>
  <si>
    <t>Energji Totale ne Operatorin e Sistemit te Shperndarjes  2009-2022   ne MWh</t>
  </si>
  <si>
    <t>Tot [MWh]</t>
  </si>
  <si>
    <t>Selitë</t>
  </si>
  <si>
    <t xml:space="preserve">Burimi: OST sha; </t>
  </si>
  <si>
    <t>Burimi: OST sha / OT</t>
  </si>
  <si>
    <t>Burimi: KESH sha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</si>
</sst>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.00;[Red]\-&quot;£&quot;#,##0.00"/>
    <numFmt numFmtId="165" formatCode="_-* #,##0.00_-;\-* #,##0.00_-;_-* &quot;-&quot;??_-;_-@_-"/>
    <numFmt numFmtId="166" formatCode="_-* #,##0_-;\-* #,##0_-;_-* &quot;-&quot;??_-;_-@_-"/>
    <numFmt numFmtId="167" formatCode="_(* #,##0_);_(* \(#,##0\);_(* &quot;-&quot;??_);_(@_)"/>
    <numFmt numFmtId="168" formatCode="0.0%"/>
    <numFmt numFmtId="169" formatCode="0.0"/>
    <numFmt numFmtId="170" formatCode="#,##0.000"/>
    <numFmt numFmtId="171" formatCode="0.000"/>
    <numFmt numFmtId="172" formatCode="&quot; &quot;#,##0.00&quot;    &quot;;&quot;-&quot;#,##0.00&quot;    &quot;;&quot; -&quot;00&quot;    &quot;;&quot; &quot;@&quot; &quot;"/>
    <numFmt numFmtId="173" formatCode="dd&quot;/&quot;mm&quot;/&quot;yyyy"/>
    <numFmt numFmtId="174" formatCode="#,##0.0"/>
    <numFmt numFmtId="175" formatCode="_(* #,##0.000_);_(* \(#,##0.000\);_(* &quot;-&quot;??_);_(@_)"/>
    <numFmt numFmtId="176" formatCode="_(* #,##0.000000000_);_(* \(#,##0.000000000\);_(* &quot;-&quot;??_);_(@_)"/>
    <numFmt numFmtId="177" formatCode="_(* #,##0.0_);_(* \(#,##0.0\);_(* &quot;-&quot;??_);_(@_)"/>
    <numFmt numFmtId="178" formatCode="_-* #,##0.00_L_e_k_-;\-* #,##0.00_L_e_k_-;_-* &quot;-&quot;??_L_e_k_-;_-@_-"/>
    <numFmt numFmtId="179" formatCode="_(* #,##0.0000_);_(* \(#,##0.0000\);_(* &quot;-&quot;????_);_(@_)"/>
  </numFmts>
  <fonts count="2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8"/>
      <name val="Garamond"/>
      <family val="1"/>
    </font>
    <font>
      <b/>
      <sz val="8"/>
      <color indexed="8"/>
      <name val="Garamond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8"/>
      <name val="Garamond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sz val="6"/>
      <name val="Times New Roman"/>
      <family val="1"/>
    </font>
    <font>
      <b/>
      <sz val="9"/>
      <color indexed="8"/>
      <name val="Calibri"/>
      <family val="2"/>
    </font>
    <font>
      <b/>
      <sz val="7"/>
      <name val="Times New Roman"/>
      <family val="1"/>
    </font>
    <font>
      <sz val="8"/>
      <color indexed="8"/>
      <name val="Garamond"/>
      <family val="1"/>
    </font>
    <font>
      <b/>
      <sz val="7"/>
      <color indexed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6"/>
      <color indexed="8"/>
      <name val="Times New Roman"/>
      <family val="1"/>
    </font>
    <font>
      <b/>
      <i/>
      <u val="single"/>
      <sz val="14"/>
      <color indexed="8"/>
      <name val="Calibri"/>
      <family val="2"/>
    </font>
    <font>
      <b/>
      <sz val="10"/>
      <name val="Calibri"/>
      <family val="2"/>
    </font>
    <font>
      <b/>
      <sz val="12"/>
      <color indexed="63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Garamond"/>
      <family val="1"/>
    </font>
    <font>
      <sz val="10"/>
      <color indexed="10"/>
      <name val="Calibri"/>
      <family val="2"/>
    </font>
    <font>
      <b/>
      <sz val="14"/>
      <color indexed="8"/>
      <name val="Times New Roman"/>
      <family val="1"/>
    </font>
    <font>
      <sz val="12"/>
      <color indexed="30"/>
      <name val="Times New Roman"/>
      <family val="1"/>
    </font>
    <font>
      <b/>
      <sz val="7"/>
      <color indexed="8"/>
      <name val="Calibri"/>
      <family val="2"/>
    </font>
    <font>
      <sz val="10"/>
      <name val="Tahoma"/>
      <family val="2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i/>
      <sz val="11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14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color indexed="8"/>
      <name val="Garamond"/>
      <family val="1"/>
    </font>
    <font>
      <sz val="12"/>
      <color indexed="8"/>
      <name val="Garamond"/>
      <family val="1"/>
    </font>
    <font>
      <b/>
      <sz val="9"/>
      <color indexed="8"/>
      <name val="Garamond"/>
      <family val="1"/>
    </font>
    <font>
      <i/>
      <sz val="12"/>
      <name val="Times New Roman"/>
      <family val="1"/>
    </font>
    <font>
      <b/>
      <sz val="12"/>
      <color indexed="8"/>
      <name val="Helvetica"/>
      <family val="0"/>
    </font>
    <font>
      <sz val="9"/>
      <name val="Arial"/>
      <family val="2"/>
    </font>
    <font>
      <b/>
      <sz val="6"/>
      <color indexed="8"/>
      <name val="Times New Roman"/>
      <family val="1"/>
    </font>
    <font>
      <b/>
      <sz val="6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name val="Garamond"/>
      <family val="1"/>
    </font>
    <font>
      <b/>
      <i/>
      <u val="single"/>
      <sz val="11"/>
      <color indexed="8"/>
      <name val="Calibri"/>
      <family val="2"/>
    </font>
    <font>
      <sz val="11"/>
      <name val="Arial"/>
      <family val="2"/>
    </font>
    <font>
      <i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9"/>
      <color indexed="8"/>
      <name val="Garamond"/>
      <family val="1"/>
    </font>
    <font>
      <b/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63"/>
      <name val="Calibri"/>
      <family val="0"/>
    </font>
    <font>
      <sz val="9"/>
      <color indexed="63"/>
      <name val="Calibri"/>
      <family val="0"/>
    </font>
    <font>
      <b/>
      <sz val="7"/>
      <color indexed="63"/>
      <name val="Times New Roman"/>
      <family val="0"/>
    </font>
    <font>
      <b/>
      <sz val="8"/>
      <color indexed="63"/>
      <name val="Times New Roman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Garamond"/>
      <family val="1"/>
    </font>
    <font>
      <i/>
      <sz val="10"/>
      <color theme="1"/>
      <name val="Calibri"/>
      <family val="2"/>
    </font>
    <font>
      <b/>
      <sz val="8"/>
      <color theme="1"/>
      <name val="Garamond"/>
      <family val="1"/>
    </font>
    <font>
      <sz val="10"/>
      <color theme="1"/>
      <name val="Garamond"/>
      <family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Calibri"/>
      <family val="2"/>
    </font>
    <font>
      <b/>
      <sz val="7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Garamond"/>
      <family val="1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  <font>
      <b/>
      <sz val="12"/>
      <color rgb="FF000000"/>
      <name val="Calibri"/>
      <family val="2"/>
    </font>
    <font>
      <sz val="7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Garamond"/>
      <family val="1"/>
    </font>
    <font>
      <sz val="10"/>
      <color rgb="FFFF0000"/>
      <name val="Calibri"/>
      <family val="2"/>
    </font>
    <font>
      <sz val="12"/>
      <color rgb="FF0070C0"/>
      <name val="Times New Roman"/>
      <family val="1"/>
    </font>
    <font>
      <b/>
      <sz val="12"/>
      <color rgb="FF000000"/>
      <name val="Times New Roman"/>
      <family val="1"/>
    </font>
    <font>
      <b/>
      <sz val="7"/>
      <color theme="1"/>
      <name val="Calibri"/>
      <family val="2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0"/>
      <color rgb="FFFF0000"/>
      <name val="Times New Roman"/>
      <family val="1"/>
    </font>
    <font>
      <b/>
      <sz val="12"/>
      <color rgb="FF404040"/>
      <name val="Times New Roman"/>
      <family val="1"/>
    </font>
    <font>
      <b/>
      <sz val="7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2"/>
      <color theme="1"/>
      <name val="Garamond"/>
      <family val="1"/>
    </font>
    <font>
      <b/>
      <sz val="12"/>
      <color rgb="FF000000"/>
      <name val="Helvetica"/>
      <family val="0"/>
    </font>
    <font>
      <b/>
      <sz val="6"/>
      <color theme="1"/>
      <name val="Times New Roman"/>
      <family val="1"/>
    </font>
    <font>
      <b/>
      <sz val="6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i/>
      <u val="single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000000"/>
      <name val="Garamond"/>
      <family val="1"/>
    </font>
    <font>
      <b/>
      <sz val="16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Garamond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CC2E5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>
        <color theme="1"/>
      </left>
      <right style="thin"/>
      <top style="medium"/>
      <bottom style="medium">
        <color theme="1"/>
      </bottom>
    </border>
    <border>
      <left/>
      <right style="medium">
        <color theme="1"/>
      </right>
      <top style="medium"/>
      <bottom style="medium">
        <color theme="1"/>
      </bottom>
    </border>
    <border>
      <left style="medium">
        <color theme="1"/>
      </left>
      <right style="medium"/>
      <top style="thin"/>
      <bottom/>
    </border>
    <border>
      <left/>
      <right style="medium">
        <color theme="1"/>
      </right>
      <top style="thin"/>
      <bottom style="thin"/>
    </border>
    <border>
      <left style="medium">
        <color theme="1"/>
      </left>
      <right style="medium"/>
      <top/>
      <bottom/>
    </border>
    <border>
      <left style="medium"/>
      <right style="medium">
        <color theme="1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>
        <color theme="1"/>
      </left>
      <right style="medium"/>
      <top style="medium"/>
      <bottom/>
    </border>
    <border>
      <left style="medium">
        <color theme="1"/>
      </left>
      <right style="medium"/>
      <top/>
      <bottom style="medium"/>
    </border>
    <border>
      <left style="medium"/>
      <right style="medium">
        <color theme="1"/>
      </right>
      <top style="medium"/>
      <bottom/>
    </border>
    <border>
      <left style="medium"/>
      <right style="medium">
        <color theme="1"/>
      </right>
      <top/>
      <bottom style="medium"/>
    </border>
    <border>
      <left style="medium">
        <color theme="1"/>
      </left>
      <right/>
      <top/>
      <bottom style="medium"/>
    </border>
    <border>
      <left/>
      <right style="medium">
        <color theme="1"/>
      </right>
      <top/>
      <bottom style="medium"/>
    </border>
    <border>
      <left/>
      <right style="medium">
        <color theme="1"/>
      </right>
      <top style="medium"/>
      <bottom/>
    </border>
    <border>
      <left/>
      <right style="medium">
        <color theme="1"/>
      </right>
      <top/>
      <bottom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26" fillId="20" borderId="0" applyNumberFormat="0" applyBorder="0" applyAlignment="0" applyProtection="0"/>
    <xf numFmtId="0" fontId="126" fillId="21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5" borderId="0" applyNumberFormat="0" applyBorder="0" applyAlignment="0" applyProtection="0"/>
    <xf numFmtId="0" fontId="127" fillId="26" borderId="0" applyNumberFormat="0" applyBorder="0" applyAlignment="0" applyProtection="0"/>
    <xf numFmtId="0" fontId="128" fillId="27" borderId="1" applyNumberFormat="0" applyAlignment="0" applyProtection="0"/>
    <xf numFmtId="0" fontId="1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29" borderId="0" applyNumberFormat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0" fontId="136" fillId="30" borderId="1" applyNumberFormat="0" applyAlignment="0" applyProtection="0"/>
    <xf numFmtId="0" fontId="137" fillId="0" borderId="6" applyNumberFormat="0" applyFill="0" applyAlignment="0" applyProtection="0"/>
    <xf numFmtId="0" fontId="1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9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7">
      <alignment/>
      <protection/>
    </xf>
    <xf numFmtId="0" fontId="12" fillId="0" borderId="0">
      <alignment/>
      <protection/>
    </xf>
    <xf numFmtId="0" fontId="0" fillId="32" borderId="8" applyNumberFormat="0" applyFont="0" applyAlignment="0" applyProtection="0"/>
    <xf numFmtId="0" fontId="140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10" applyNumberFormat="0" applyFill="0" applyAlignment="0" applyProtection="0"/>
    <xf numFmtId="0" fontId="143" fillId="0" borderId="0" applyNumberFormat="0" applyFill="0" applyBorder="0" applyAlignment="0" applyProtection="0"/>
  </cellStyleXfs>
  <cellXfs count="2097">
    <xf numFmtId="0" fontId="0" fillId="0" borderId="0" xfId="0" applyFont="1" applyAlignment="1">
      <alignment/>
    </xf>
    <xf numFmtId="0" fontId="144" fillId="0" borderId="0" xfId="0" applyFont="1" applyAlignment="1">
      <alignment/>
    </xf>
    <xf numFmtId="0" fontId="144" fillId="0" borderId="0" xfId="0" applyFont="1" applyBorder="1" applyAlignment="1">
      <alignment/>
    </xf>
    <xf numFmtId="2" fontId="14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145" fillId="0" borderId="0" xfId="0" applyFont="1" applyAlignment="1">
      <alignment horizontal="center"/>
    </xf>
    <xf numFmtId="166" fontId="7" fillId="0" borderId="7" xfId="0" applyNumberFormat="1" applyFont="1" applyFill="1" applyBorder="1" applyAlignment="1">
      <alignment horizontal="right"/>
    </xf>
    <xf numFmtId="166" fontId="7" fillId="0" borderId="7" xfId="58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 wrapText="1"/>
    </xf>
    <xf numFmtId="0" fontId="146" fillId="0" borderId="7" xfId="0" applyFont="1" applyBorder="1" applyAlignment="1">
      <alignment horizontal="center" vertical="center"/>
    </xf>
    <xf numFmtId="3" fontId="146" fillId="0" borderId="11" xfId="0" applyNumberFormat="1" applyFont="1" applyFill="1" applyBorder="1" applyAlignment="1">
      <alignment horizontal="right"/>
    </xf>
    <xf numFmtId="37" fontId="7" fillId="0" borderId="11" xfId="59" applyNumberFormat="1" applyFont="1" applyFill="1" applyBorder="1" applyAlignment="1">
      <alignment horizontal="center" vertical="center"/>
    </xf>
    <xf numFmtId="166" fontId="7" fillId="0" borderId="12" xfId="58" applyNumberFormat="1" applyFont="1" applyFill="1" applyBorder="1" applyAlignment="1">
      <alignment/>
    </xf>
    <xf numFmtId="166" fontId="7" fillId="0" borderId="12" xfId="0" applyNumberFormat="1" applyFont="1" applyFill="1" applyBorder="1" applyAlignment="1">
      <alignment horizontal="center"/>
    </xf>
    <xf numFmtId="166" fontId="7" fillId="0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145" fillId="0" borderId="7" xfId="0" applyFont="1" applyBorder="1" applyAlignment="1">
      <alignment/>
    </xf>
    <xf numFmtId="0" fontId="145" fillId="0" borderId="7" xfId="0" applyFont="1" applyFill="1" applyBorder="1" applyAlignment="1">
      <alignment/>
    </xf>
    <xf numFmtId="3" fontId="146" fillId="0" borderId="11" xfId="0" applyNumberFormat="1" applyFont="1" applyFill="1" applyBorder="1" applyAlignment="1">
      <alignment horizontal="center"/>
    </xf>
    <xf numFmtId="167" fontId="144" fillId="0" borderId="11" xfId="0" applyNumberFormat="1" applyFont="1" applyBorder="1" applyAlignment="1">
      <alignment/>
    </xf>
    <xf numFmtId="0" fontId="146" fillId="0" borderId="7" xfId="0" applyFont="1" applyBorder="1" applyAlignment="1">
      <alignment horizontal="center"/>
    </xf>
    <xf numFmtId="3" fontId="144" fillId="0" borderId="7" xfId="0" applyNumberFormat="1" applyFont="1" applyBorder="1" applyAlignment="1">
      <alignment/>
    </xf>
    <xf numFmtId="3" fontId="144" fillId="0" borderId="0" xfId="0" applyNumberFormat="1" applyFont="1" applyAlignment="1">
      <alignment/>
    </xf>
    <xf numFmtId="0" fontId="4" fillId="0" borderId="7" xfId="0" applyFont="1" applyBorder="1" applyAlignment="1">
      <alignment horizontal="center"/>
    </xf>
    <xf numFmtId="2" fontId="144" fillId="0" borderId="7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4" fontId="144" fillId="0" borderId="7" xfId="0" applyNumberFormat="1" applyFont="1" applyBorder="1" applyAlignment="1">
      <alignment horizontal="center"/>
    </xf>
    <xf numFmtId="4" fontId="144" fillId="0" borderId="7" xfId="0" applyNumberFormat="1" applyFont="1" applyFill="1" applyBorder="1" applyAlignment="1">
      <alignment horizontal="center"/>
    </xf>
    <xf numFmtId="0" fontId="147" fillId="0" borderId="0" xfId="0" applyFont="1" applyAlignment="1">
      <alignment/>
    </xf>
    <xf numFmtId="2" fontId="13" fillId="0" borderId="7" xfId="0" applyNumberFormat="1" applyFont="1" applyBorder="1" applyAlignment="1">
      <alignment horizontal="center"/>
    </xf>
    <xf numFmtId="168" fontId="144" fillId="0" borderId="7" xfId="90" applyNumberFormat="1" applyFont="1" applyBorder="1" applyAlignment="1">
      <alignment horizontal="center"/>
    </xf>
    <xf numFmtId="169" fontId="146" fillId="0" borderId="7" xfId="0" applyNumberFormat="1" applyFont="1" applyBorder="1" applyAlignment="1">
      <alignment horizontal="center"/>
    </xf>
    <xf numFmtId="171" fontId="144" fillId="0" borderId="0" xfId="0" applyNumberFormat="1" applyFont="1" applyAlignment="1">
      <alignment/>
    </xf>
    <xf numFmtId="2" fontId="144" fillId="0" borderId="0" xfId="0" applyNumberFormat="1" applyFont="1" applyAlignment="1">
      <alignment/>
    </xf>
    <xf numFmtId="0" fontId="145" fillId="33" borderId="7" xfId="0" applyFont="1" applyFill="1" applyBorder="1" applyAlignment="1">
      <alignment horizontal="center" vertical="center" wrapText="1"/>
    </xf>
    <xf numFmtId="0" fontId="146" fillId="0" borderId="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166" fontId="5" fillId="33" borderId="12" xfId="58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/>
    </xf>
    <xf numFmtId="166" fontId="15" fillId="34" borderId="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166" fontId="5" fillId="0" borderId="15" xfId="0" applyNumberFormat="1" applyFont="1" applyFill="1" applyBorder="1" applyAlignment="1">
      <alignment/>
    </xf>
    <xf numFmtId="166" fontId="5" fillId="0" borderId="17" xfId="58" applyNumberFormat="1" applyFont="1" applyFill="1" applyBorder="1" applyAlignment="1">
      <alignment horizontal="center" vertical="center"/>
    </xf>
    <xf numFmtId="167" fontId="5" fillId="0" borderId="17" xfId="58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/>
    </xf>
    <xf numFmtId="166" fontId="5" fillId="0" borderId="7" xfId="0" applyNumberFormat="1" applyFont="1" applyFill="1" applyBorder="1" applyAlignment="1">
      <alignment/>
    </xf>
    <xf numFmtId="3" fontId="145" fillId="0" borderId="11" xfId="0" applyNumberFormat="1" applyFont="1" applyBorder="1" applyAlignment="1">
      <alignment/>
    </xf>
    <xf numFmtId="0" fontId="5" fillId="0" borderId="16" xfId="0" applyFont="1" applyBorder="1" applyAlignment="1">
      <alignment/>
    </xf>
    <xf numFmtId="166" fontId="5" fillId="0" borderId="7" xfId="58" applyNumberFormat="1" applyFont="1" applyFill="1" applyBorder="1" applyAlignment="1">
      <alignment/>
    </xf>
    <xf numFmtId="166" fontId="145" fillId="0" borderId="7" xfId="0" applyNumberFormat="1" applyFont="1" applyBorder="1" applyAlignment="1">
      <alignment/>
    </xf>
    <xf numFmtId="167" fontId="145" fillId="0" borderId="7" xfId="0" applyNumberFormat="1" applyFont="1" applyBorder="1" applyAlignment="1">
      <alignment/>
    </xf>
    <xf numFmtId="3" fontId="145" fillId="0" borderId="7" xfId="0" applyNumberFormat="1" applyFont="1" applyBorder="1" applyAlignment="1">
      <alignment/>
    </xf>
    <xf numFmtId="37" fontId="145" fillId="0" borderId="11" xfId="0" applyNumberFormat="1" applyFont="1" applyBorder="1" applyAlignment="1">
      <alignment/>
    </xf>
    <xf numFmtId="3" fontId="145" fillId="0" borderId="17" xfId="0" applyNumberFormat="1" applyFont="1" applyBorder="1" applyAlignment="1">
      <alignment/>
    </xf>
    <xf numFmtId="166" fontId="144" fillId="0" borderId="0" xfId="0" applyNumberFormat="1" applyFont="1" applyBorder="1" applyAlignment="1">
      <alignment/>
    </xf>
    <xf numFmtId="0" fontId="11" fillId="0" borderId="16" xfId="0" applyFont="1" applyFill="1" applyBorder="1" applyAlignment="1">
      <alignment/>
    </xf>
    <xf numFmtId="166" fontId="145" fillId="0" borderId="7" xfId="0" applyNumberFormat="1" applyFont="1" applyFill="1" applyBorder="1" applyAlignment="1">
      <alignment/>
    </xf>
    <xf numFmtId="166" fontId="5" fillId="0" borderId="7" xfId="0" applyNumberFormat="1" applyFont="1" applyBorder="1" applyAlignment="1">
      <alignment/>
    </xf>
    <xf numFmtId="165" fontId="5" fillId="0" borderId="7" xfId="0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166" fontId="5" fillId="0" borderId="12" xfId="58" applyNumberFormat="1" applyFont="1" applyFill="1" applyBorder="1" applyAlignment="1">
      <alignment/>
    </xf>
    <xf numFmtId="166" fontId="5" fillId="0" borderId="12" xfId="0" applyNumberFormat="1" applyFont="1" applyBorder="1" applyAlignment="1">
      <alignment horizontal="center"/>
    </xf>
    <xf numFmtId="166" fontId="5" fillId="0" borderId="12" xfId="0" applyNumberFormat="1" applyFont="1" applyFill="1" applyBorder="1" applyAlignment="1">
      <alignment/>
    </xf>
    <xf numFmtId="3" fontId="145" fillId="0" borderId="13" xfId="0" applyNumberFormat="1" applyFont="1" applyBorder="1" applyAlignment="1">
      <alignment/>
    </xf>
    <xf numFmtId="166" fontId="144" fillId="0" borderId="0" xfId="0" applyNumberFormat="1" applyFont="1" applyAlignment="1">
      <alignment/>
    </xf>
    <xf numFmtId="166" fontId="5" fillId="0" borderId="13" xfId="0" applyNumberFormat="1" applyFont="1" applyFill="1" applyBorder="1" applyAlignment="1">
      <alignment/>
    </xf>
    <xf numFmtId="0" fontId="15" fillId="34" borderId="20" xfId="0" applyFont="1" applyFill="1" applyBorder="1" applyAlignment="1">
      <alignment horizontal="left" vertical="center"/>
    </xf>
    <xf numFmtId="166" fontId="15" fillId="34" borderId="17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166" fontId="7" fillId="0" borderId="7" xfId="0" applyNumberFormat="1" applyFont="1" applyFill="1" applyBorder="1" applyAlignment="1">
      <alignment/>
    </xf>
    <xf numFmtId="166" fontId="146" fillId="0" borderId="7" xfId="0" applyNumberFormat="1" applyFont="1" applyFill="1" applyBorder="1" applyAlignment="1">
      <alignment horizontal="right"/>
    </xf>
    <xf numFmtId="166" fontId="146" fillId="0" borderId="7" xfId="0" applyNumberFormat="1" applyFont="1" applyFill="1" applyBorder="1" applyAlignment="1">
      <alignment/>
    </xf>
    <xf numFmtId="166" fontId="7" fillId="0" borderId="7" xfId="59" applyNumberFormat="1" applyFont="1" applyFill="1" applyBorder="1" applyAlignment="1">
      <alignment horizontal="center" vertical="center"/>
    </xf>
    <xf numFmtId="3" fontId="146" fillId="0" borderId="7" xfId="0" applyNumberFormat="1" applyFont="1" applyFill="1" applyBorder="1" applyAlignment="1">
      <alignment horizontal="right" vertical="center"/>
    </xf>
    <xf numFmtId="166" fontId="146" fillId="0" borderId="7" xfId="0" applyNumberFormat="1" applyFont="1" applyFill="1" applyBorder="1" applyAlignment="1">
      <alignment horizontal="right" indent="2"/>
    </xf>
    <xf numFmtId="166" fontId="144" fillId="0" borderId="7" xfId="0" applyNumberFormat="1" applyFont="1" applyBorder="1" applyAlignment="1">
      <alignment/>
    </xf>
    <xf numFmtId="0" fontId="5" fillId="0" borderId="19" xfId="0" applyFont="1" applyFill="1" applyBorder="1" applyAlignment="1">
      <alignment horizontal="center"/>
    </xf>
    <xf numFmtId="169" fontId="144" fillId="0" borderId="0" xfId="0" applyNumberFormat="1" applyFont="1" applyAlignment="1">
      <alignment/>
    </xf>
    <xf numFmtId="3" fontId="146" fillId="0" borderId="0" xfId="0" applyNumberFormat="1" applyFont="1" applyFill="1" applyBorder="1" applyAlignment="1">
      <alignment horizontal="center" vertical="center" wrapText="1"/>
    </xf>
    <xf numFmtId="0" fontId="144" fillId="0" borderId="0" xfId="0" applyFont="1" applyAlignment="1">
      <alignment horizontal="center" vertical="center" textRotation="90"/>
    </xf>
    <xf numFmtId="0" fontId="144" fillId="0" borderId="0" xfId="0" applyFont="1" applyAlignment="1">
      <alignment horizontal="center" vertical="center" wrapText="1"/>
    </xf>
    <xf numFmtId="0" fontId="145" fillId="0" borderId="0" xfId="0" applyFont="1" applyAlignment="1">
      <alignment horizontal="center" vertical="center" wrapText="1"/>
    </xf>
    <xf numFmtId="0" fontId="144" fillId="0" borderId="14" xfId="0" applyFont="1" applyBorder="1" applyAlignment="1">
      <alignment horizontal="center" vertical="center" wrapText="1"/>
    </xf>
    <xf numFmtId="169" fontId="17" fillId="0" borderId="7" xfId="0" applyNumberFormat="1" applyFont="1" applyBorder="1" applyAlignment="1">
      <alignment horizontal="center"/>
    </xf>
    <xf numFmtId="169" fontId="17" fillId="35" borderId="7" xfId="0" applyNumberFormat="1" applyFont="1" applyFill="1" applyBorder="1" applyAlignment="1">
      <alignment horizontal="center"/>
    </xf>
    <xf numFmtId="169" fontId="17" fillId="36" borderId="7" xfId="0" applyNumberFormat="1" applyFont="1" applyFill="1" applyBorder="1" applyAlignment="1">
      <alignment horizontal="center"/>
    </xf>
    <xf numFmtId="169" fontId="17" fillId="0" borderId="7" xfId="0" applyNumberFormat="1" applyFont="1" applyFill="1" applyBorder="1" applyAlignment="1">
      <alignment horizontal="center"/>
    </xf>
    <xf numFmtId="169" fontId="148" fillId="0" borderId="7" xfId="0" applyNumberFormat="1" applyFont="1" applyBorder="1" applyAlignment="1">
      <alignment horizontal="center"/>
    </xf>
    <xf numFmtId="169" fontId="17" fillId="0" borderId="7" xfId="78" applyNumberFormat="1" applyFont="1" applyBorder="1" applyAlignment="1">
      <alignment horizontal="center"/>
      <protection/>
    </xf>
    <xf numFmtId="169" fontId="148" fillId="36" borderId="7" xfId="0" applyNumberFormat="1" applyFont="1" applyFill="1" applyBorder="1" applyAlignment="1">
      <alignment horizontal="center"/>
    </xf>
    <xf numFmtId="169" fontId="148" fillId="0" borderId="7" xfId="0" applyNumberFormat="1" applyFont="1" applyFill="1" applyBorder="1" applyAlignment="1">
      <alignment horizontal="center"/>
    </xf>
    <xf numFmtId="0" fontId="149" fillId="0" borderId="22" xfId="0" applyFont="1" applyBorder="1" applyAlignment="1">
      <alignment vertical="center"/>
    </xf>
    <xf numFmtId="0" fontId="146" fillId="0" borderId="23" xfId="0" applyFont="1" applyBorder="1" applyAlignment="1">
      <alignment horizontal="center" vertical="center"/>
    </xf>
    <xf numFmtId="0" fontId="146" fillId="0" borderId="24" xfId="0" applyFont="1" applyBorder="1" applyAlignment="1">
      <alignment horizontal="center" vertical="center" wrapText="1"/>
    </xf>
    <xf numFmtId="0" fontId="146" fillId="0" borderId="16" xfId="0" applyFont="1" applyBorder="1" applyAlignment="1">
      <alignment horizontal="center" vertical="center"/>
    </xf>
    <xf numFmtId="0" fontId="146" fillId="0" borderId="16" xfId="0" applyFont="1" applyBorder="1" applyAlignment="1">
      <alignment horizontal="center" vertical="center" wrapText="1"/>
    </xf>
    <xf numFmtId="0" fontId="1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15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50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1" fillId="0" borderId="25" xfId="0" applyFont="1" applyBorder="1" applyAlignment="1">
      <alignment horizontal="center" vertical="center"/>
    </xf>
    <xf numFmtId="3" fontId="150" fillId="0" borderId="2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3" fontId="150" fillId="0" borderId="28" xfId="0" applyNumberFormat="1" applyFont="1" applyBorder="1" applyAlignment="1">
      <alignment horizontal="center" vertical="center" wrapText="1"/>
    </xf>
    <xf numFmtId="0" fontId="142" fillId="0" borderId="0" xfId="0" applyFont="1" applyAlignment="1">
      <alignment vertical="center"/>
    </xf>
    <xf numFmtId="0" fontId="14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5" fillId="0" borderId="0" xfId="0" applyFont="1" applyBorder="1" applyAlignment="1">
      <alignment/>
    </xf>
    <xf numFmtId="0" fontId="152" fillId="0" borderId="7" xfId="0" applyFont="1" applyBorder="1" applyAlignment="1">
      <alignment horizontal="center" vertical="center"/>
    </xf>
    <xf numFmtId="0" fontId="23" fillId="0" borderId="7" xfId="78" applyFont="1" applyFill="1" applyBorder="1" applyAlignment="1">
      <alignment horizontal="left" vertical="center" wrapText="1"/>
      <protection/>
    </xf>
    <xf numFmtId="3" fontId="153" fillId="0" borderId="7" xfId="0" applyNumberFormat="1" applyFont="1" applyBorder="1" applyAlignment="1">
      <alignment horizontal="right" vertical="center"/>
    </xf>
    <xf numFmtId="0" fontId="142" fillId="0" borderId="0" xfId="0" applyFont="1" applyBorder="1" applyAlignment="1">
      <alignment vertical="center"/>
    </xf>
    <xf numFmtId="3" fontId="154" fillId="0" borderId="0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169" fontId="146" fillId="0" borderId="7" xfId="0" applyNumberFormat="1" applyFont="1" applyFill="1" applyBorder="1" applyAlignment="1">
      <alignment horizontal="center"/>
    </xf>
    <xf numFmtId="0" fontId="145" fillId="0" borderId="7" xfId="0" applyFont="1" applyFill="1" applyBorder="1" applyAlignment="1">
      <alignment horizontal="center"/>
    </xf>
    <xf numFmtId="0" fontId="146" fillId="0" borderId="16" xfId="0" applyFont="1" applyFill="1" applyBorder="1" applyAlignment="1">
      <alignment horizontal="center" vertical="center"/>
    </xf>
    <xf numFmtId="174" fontId="148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28" fillId="0" borderId="7" xfId="42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155" fillId="0" borderId="0" xfId="0" applyNumberFormat="1" applyFont="1" applyFill="1" applyBorder="1" applyAlignment="1">
      <alignment/>
    </xf>
    <xf numFmtId="166" fontId="146" fillId="0" borderId="7" xfId="0" applyNumberFormat="1" applyFont="1" applyBorder="1" applyAlignment="1">
      <alignment/>
    </xf>
    <xf numFmtId="3" fontId="146" fillId="0" borderId="7" xfId="0" applyNumberFormat="1" applyFont="1" applyBorder="1" applyAlignment="1">
      <alignment/>
    </xf>
    <xf numFmtId="0" fontId="145" fillId="0" borderId="28" xfId="0" applyFont="1" applyBorder="1" applyAlignment="1">
      <alignment/>
    </xf>
    <xf numFmtId="0" fontId="10" fillId="0" borderId="0" xfId="0" applyFont="1" applyBorder="1" applyAlignment="1">
      <alignment horizontal="left"/>
    </xf>
    <xf numFmtId="166" fontId="10" fillId="0" borderId="0" xfId="59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5" fillId="0" borderId="7" xfId="0" applyFont="1" applyBorder="1" applyAlignment="1">
      <alignment horizontal="center" vertical="center"/>
    </xf>
    <xf numFmtId="3" fontId="23" fillId="0" borderId="7" xfId="0" applyNumberFormat="1" applyFont="1" applyBorder="1" applyAlignment="1">
      <alignment horizontal="right" vertical="center"/>
    </xf>
    <xf numFmtId="37" fontId="144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169" fontId="144" fillId="0" borderId="12" xfId="90" applyNumberFormat="1" applyFont="1" applyFill="1" applyBorder="1" applyAlignment="1">
      <alignment horizontal="center"/>
    </xf>
    <xf numFmtId="0" fontId="149" fillId="0" borderId="16" xfId="0" applyFont="1" applyFill="1" applyBorder="1" applyAlignment="1">
      <alignment horizontal="center" vertical="center"/>
    </xf>
    <xf numFmtId="169" fontId="149" fillId="0" borderId="16" xfId="0" applyNumberFormat="1" applyFont="1" applyFill="1" applyBorder="1" applyAlignment="1">
      <alignment horizontal="center" vertical="center"/>
    </xf>
    <xf numFmtId="169" fontId="148" fillId="0" borderId="7" xfId="0" applyNumberFormat="1" applyFont="1" applyFill="1" applyBorder="1" applyAlignment="1">
      <alignment horizontal="center" vertical="center"/>
    </xf>
    <xf numFmtId="169" fontId="148" fillId="0" borderId="11" xfId="0" applyNumberFormat="1" applyFont="1" applyFill="1" applyBorder="1" applyAlignment="1">
      <alignment horizontal="center" vertical="center"/>
    </xf>
    <xf numFmtId="169" fontId="149" fillId="0" borderId="19" xfId="0" applyNumberFormat="1" applyFont="1" applyFill="1" applyBorder="1" applyAlignment="1">
      <alignment horizontal="center" vertical="center"/>
    </xf>
    <xf numFmtId="169" fontId="148" fillId="0" borderId="12" xfId="0" applyNumberFormat="1" applyFont="1" applyFill="1" applyBorder="1" applyAlignment="1">
      <alignment horizontal="center" vertical="center"/>
    </xf>
    <xf numFmtId="169" fontId="148" fillId="0" borderId="13" xfId="0" applyNumberFormat="1" applyFont="1" applyFill="1" applyBorder="1" applyAlignment="1">
      <alignment horizontal="center" vertical="center"/>
    </xf>
    <xf numFmtId="0" fontId="146" fillId="0" borderId="0" xfId="0" applyFont="1" applyFill="1" applyBorder="1" applyAlignment="1">
      <alignment horizontal="center" vertical="center"/>
    </xf>
    <xf numFmtId="169" fontId="148" fillId="0" borderId="0" xfId="0" applyNumberFormat="1" applyFont="1" applyFill="1" applyBorder="1" applyAlignment="1">
      <alignment horizontal="center"/>
    </xf>
    <xf numFmtId="0" fontId="146" fillId="0" borderId="18" xfId="0" applyFont="1" applyFill="1" applyBorder="1" applyAlignment="1">
      <alignment horizontal="center" vertical="center"/>
    </xf>
    <xf numFmtId="0" fontId="148" fillId="0" borderId="15" xfId="0" applyFont="1" applyFill="1" applyBorder="1" applyAlignment="1">
      <alignment horizontal="center"/>
    </xf>
    <xf numFmtId="0" fontId="148" fillId="0" borderId="32" xfId="0" applyFont="1" applyFill="1" applyBorder="1" applyAlignment="1">
      <alignment horizontal="center"/>
    </xf>
    <xf numFmtId="166" fontId="34" fillId="0" borderId="7" xfId="59" applyNumberFormat="1" applyFont="1" applyFill="1" applyBorder="1" applyAlignment="1">
      <alignment horizontal="center" vertical="center"/>
    </xf>
    <xf numFmtId="166" fontId="29" fillId="0" borderId="7" xfId="0" applyNumberFormat="1" applyFont="1" applyFill="1" applyBorder="1" applyAlignment="1">
      <alignment/>
    </xf>
    <xf numFmtId="167" fontId="144" fillId="0" borderId="0" xfId="0" applyNumberFormat="1" applyFont="1" applyBorder="1" applyAlignment="1">
      <alignment/>
    </xf>
    <xf numFmtId="0" fontId="156" fillId="0" borderId="0" xfId="0" applyFont="1" applyAlignment="1">
      <alignment/>
    </xf>
    <xf numFmtId="0" fontId="157" fillId="16" borderId="7" xfId="0" applyFont="1" applyFill="1" applyBorder="1" applyAlignment="1">
      <alignment horizontal="center" vertical="center" wrapText="1"/>
    </xf>
    <xf numFmtId="0" fontId="37" fillId="16" borderId="7" xfId="0" applyFont="1" applyFill="1" applyBorder="1" applyAlignment="1">
      <alignment horizontal="center" vertical="center"/>
    </xf>
    <xf numFmtId="170" fontId="157" fillId="37" borderId="7" xfId="0" applyNumberFormat="1" applyFont="1" applyFill="1" applyBorder="1" applyAlignment="1">
      <alignment horizontal="right" vertical="center" wrapText="1"/>
    </xf>
    <xf numFmtId="170" fontId="157" fillId="37" borderId="17" xfId="0" applyNumberFormat="1" applyFont="1" applyFill="1" applyBorder="1" applyAlignment="1">
      <alignment horizontal="right" vertical="center" wrapText="1"/>
    </xf>
    <xf numFmtId="170" fontId="157" fillId="0" borderId="7" xfId="0" applyNumberFormat="1" applyFont="1" applyFill="1" applyBorder="1" applyAlignment="1">
      <alignment horizontal="right" vertical="center" wrapText="1"/>
    </xf>
    <xf numFmtId="0" fontId="156" fillId="0" borderId="7" xfId="0" applyFont="1" applyFill="1" applyBorder="1" applyAlignment="1">
      <alignment vertical="center" wrapText="1"/>
    </xf>
    <xf numFmtId="170" fontId="157" fillId="0" borderId="7" xfId="0" applyNumberFormat="1" applyFont="1" applyFill="1" applyBorder="1" applyAlignment="1">
      <alignment vertical="center" wrapText="1"/>
    </xf>
    <xf numFmtId="170" fontId="157" fillId="0" borderId="7" xfId="0" applyNumberFormat="1" applyFont="1" applyFill="1" applyBorder="1" applyAlignment="1">
      <alignment horizontal="right" vertical="center"/>
    </xf>
    <xf numFmtId="0" fontId="156" fillId="0" borderId="7" xfId="0" applyFont="1" applyFill="1" applyBorder="1" applyAlignment="1">
      <alignment/>
    </xf>
    <xf numFmtId="0" fontId="22" fillId="0" borderId="7" xfId="0" applyFont="1" applyBorder="1" applyAlignment="1">
      <alignment vertical="center"/>
    </xf>
    <xf numFmtId="0" fontId="15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right" vertical="center"/>
    </xf>
    <xf numFmtId="170" fontId="156" fillId="0" borderId="7" xfId="0" applyNumberFormat="1" applyFont="1" applyFill="1" applyBorder="1" applyAlignment="1">
      <alignment horizontal="right" vertical="center" wrapText="1"/>
    </xf>
    <xf numFmtId="0" fontId="37" fillId="0" borderId="7" xfId="0" applyFont="1" applyFill="1" applyBorder="1" applyAlignment="1">
      <alignment horizontal="right"/>
    </xf>
    <xf numFmtId="3" fontId="37" fillId="0" borderId="33" xfId="78" applyNumberFormat="1" applyFont="1" applyFill="1" applyBorder="1" applyAlignment="1">
      <alignment horizontal="right"/>
      <protection/>
    </xf>
    <xf numFmtId="0" fontId="156" fillId="0" borderId="7" xfId="0" applyFont="1" applyBorder="1" applyAlignment="1">
      <alignment vertical="center" wrapText="1"/>
    </xf>
    <xf numFmtId="3" fontId="37" fillId="0" borderId="29" xfId="78" applyNumberFormat="1" applyFont="1" applyFill="1" applyBorder="1" applyAlignment="1">
      <alignment horizontal="right" vertical="center"/>
      <protection/>
    </xf>
    <xf numFmtId="3" fontId="37" fillId="0" borderId="29" xfId="78" applyNumberFormat="1" applyFont="1" applyFill="1" applyBorder="1" applyAlignment="1">
      <alignment horizontal="center" vertical="center"/>
      <protection/>
    </xf>
    <xf numFmtId="0" fontId="37" fillId="0" borderId="33" xfId="0" applyFont="1" applyFill="1" applyBorder="1" applyAlignment="1">
      <alignment horizontal="right"/>
    </xf>
    <xf numFmtId="170" fontId="156" fillId="0" borderId="17" xfId="0" applyNumberFormat="1" applyFont="1" applyFill="1" applyBorder="1" applyAlignment="1">
      <alignment vertical="center" wrapText="1"/>
    </xf>
    <xf numFmtId="170" fontId="156" fillId="0" borderId="34" xfId="0" applyNumberFormat="1" applyFont="1" applyFill="1" applyBorder="1" applyAlignment="1">
      <alignment vertical="center" wrapText="1"/>
    </xf>
    <xf numFmtId="170" fontId="156" fillId="0" borderId="35" xfId="0" applyNumberFormat="1" applyFont="1" applyFill="1" applyBorder="1" applyAlignment="1">
      <alignment vertical="center" wrapText="1"/>
    </xf>
    <xf numFmtId="170" fontId="156" fillId="0" borderId="17" xfId="0" applyNumberFormat="1" applyFont="1" applyFill="1" applyBorder="1" applyAlignment="1">
      <alignment horizontal="right" vertical="center" wrapText="1"/>
    </xf>
    <xf numFmtId="0" fontId="156" fillId="0" borderId="17" xfId="0" applyFont="1" applyBorder="1" applyAlignment="1">
      <alignment vertical="center" wrapText="1"/>
    </xf>
    <xf numFmtId="3" fontId="37" fillId="0" borderId="29" xfId="78" applyNumberFormat="1" applyFont="1" applyFill="1" applyBorder="1" applyAlignment="1">
      <alignment horizontal="right"/>
      <protection/>
    </xf>
    <xf numFmtId="14" fontId="37" fillId="0" borderId="33" xfId="0" applyNumberFormat="1" applyFont="1" applyFill="1" applyBorder="1" applyAlignment="1">
      <alignment horizontal="right" vertical="center" wrapText="1"/>
    </xf>
    <xf numFmtId="170" fontId="156" fillId="0" borderId="17" xfId="0" applyNumberFormat="1" applyFont="1" applyFill="1" applyBorder="1" applyAlignment="1">
      <alignment horizontal="right" vertical="center"/>
    </xf>
    <xf numFmtId="169" fontId="156" fillId="0" borderId="17" xfId="0" applyNumberFormat="1" applyFont="1" applyBorder="1" applyAlignment="1">
      <alignment/>
    </xf>
    <xf numFmtId="14" fontId="37" fillId="0" borderId="29" xfId="0" applyNumberFormat="1" applyFont="1" applyFill="1" applyBorder="1" applyAlignment="1">
      <alignment horizontal="right" vertical="center" wrapText="1"/>
    </xf>
    <xf numFmtId="170" fontId="156" fillId="0" borderId="7" xfId="0" applyNumberFormat="1" applyFont="1" applyFill="1" applyBorder="1" applyAlignment="1">
      <alignment horizontal="right" vertical="center"/>
    </xf>
    <xf numFmtId="169" fontId="156" fillId="0" borderId="7" xfId="0" applyNumberFormat="1" applyFont="1" applyBorder="1" applyAlignment="1">
      <alignment/>
    </xf>
    <xf numFmtId="3" fontId="37" fillId="0" borderId="7" xfId="78" applyNumberFormat="1" applyFont="1" applyFill="1" applyBorder="1" applyAlignment="1">
      <alignment horizontal="right"/>
      <protection/>
    </xf>
    <xf numFmtId="0" fontId="156" fillId="0" borderId="23" xfId="0" applyFont="1" applyFill="1" applyBorder="1" applyAlignment="1">
      <alignment/>
    </xf>
    <xf numFmtId="0" fontId="156" fillId="0" borderId="0" xfId="0" applyFont="1" applyFill="1" applyBorder="1" applyAlignment="1">
      <alignment horizontal="left" vertical="center"/>
    </xf>
    <xf numFmtId="3" fontId="156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0" fontId="156" fillId="0" borderId="0" xfId="0" applyFont="1" applyFill="1" applyAlignment="1">
      <alignment/>
    </xf>
    <xf numFmtId="0" fontId="37" fillId="0" borderId="0" xfId="0" applyFont="1" applyAlignment="1">
      <alignment/>
    </xf>
    <xf numFmtId="0" fontId="156" fillId="0" borderId="7" xfId="0" applyFont="1" applyBorder="1" applyAlignment="1">
      <alignment horizontal="left" vertical="center"/>
    </xf>
    <xf numFmtId="0" fontId="37" fillId="0" borderId="7" xfId="0" applyFont="1" applyFill="1" applyBorder="1" applyAlignment="1">
      <alignment/>
    </xf>
    <xf numFmtId="0" fontId="156" fillId="0" borderId="11" xfId="0" applyFont="1" applyBorder="1" applyAlignment="1">
      <alignment horizontal="right" vertical="center"/>
    </xf>
    <xf numFmtId="167" fontId="156" fillId="0" borderId="7" xfId="0" applyNumberFormat="1" applyFont="1" applyBorder="1" applyAlignment="1">
      <alignment/>
    </xf>
    <xf numFmtId="175" fontId="156" fillId="0" borderId="7" xfId="0" applyNumberFormat="1" applyFont="1" applyBorder="1" applyAlignment="1">
      <alignment horizontal="right"/>
    </xf>
    <xf numFmtId="0" fontId="152" fillId="0" borderId="0" xfId="0" applyFont="1" applyAlignment="1">
      <alignment/>
    </xf>
    <xf numFmtId="0" fontId="146" fillId="0" borderId="7" xfId="0" applyFont="1" applyFill="1" applyBorder="1" applyAlignment="1">
      <alignment horizontal="left" vertical="center" wrapText="1"/>
    </xf>
    <xf numFmtId="167" fontId="158" fillId="0" borderId="7" xfId="42" applyNumberFormat="1" applyFont="1" applyFill="1" applyBorder="1" applyAlignment="1">
      <alignment/>
    </xf>
    <xf numFmtId="0" fontId="159" fillId="0" borderId="7" xfId="0" applyFont="1" applyFill="1" applyBorder="1" applyAlignment="1">
      <alignment horizontal="left" vertical="center" wrapText="1"/>
    </xf>
    <xf numFmtId="167" fontId="160" fillId="0" borderId="7" xfId="42" applyNumberFormat="1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161" fillId="0" borderId="0" xfId="0" applyFont="1" applyFill="1" applyAlignment="1">
      <alignment/>
    </xf>
    <xf numFmtId="167" fontId="13" fillId="0" borderId="0" xfId="42" applyNumberFormat="1" applyFont="1" applyFill="1" applyBorder="1" applyAlignment="1">
      <alignment horizontal="right" vertical="center"/>
    </xf>
    <xf numFmtId="3" fontId="146" fillId="0" borderId="0" xfId="0" applyNumberFormat="1" applyFont="1" applyBorder="1" applyAlignment="1">
      <alignment horizontal="center" vertical="center"/>
    </xf>
    <xf numFmtId="0" fontId="157" fillId="0" borderId="7" xfId="0" applyFont="1" applyBorder="1" applyAlignment="1">
      <alignment horizontal="center"/>
    </xf>
    <xf numFmtId="0" fontId="162" fillId="0" borderId="7" xfId="0" applyFont="1" applyBorder="1" applyAlignment="1">
      <alignment horizontal="left" vertical="center"/>
    </xf>
    <xf numFmtId="0" fontId="162" fillId="0" borderId="7" xfId="0" applyFont="1" applyBorder="1" applyAlignment="1">
      <alignment horizontal="left" vertical="center" wrapText="1"/>
    </xf>
    <xf numFmtId="0" fontId="157" fillId="0" borderId="11" xfId="0" applyFont="1" applyFill="1" applyBorder="1" applyAlignment="1">
      <alignment horizontal="right" vertical="center"/>
    </xf>
    <xf numFmtId="0" fontId="37" fillId="0" borderId="36" xfId="0" applyFont="1" applyFill="1" applyBorder="1" applyAlignment="1">
      <alignment/>
    </xf>
    <xf numFmtId="0" fontId="156" fillId="0" borderId="21" xfId="0" applyFont="1" applyBorder="1" applyAlignment="1">
      <alignment horizontal="right" vertical="center"/>
    </xf>
    <xf numFmtId="167" fontId="156" fillId="0" borderId="17" xfId="0" applyNumberFormat="1" applyFont="1" applyBorder="1" applyAlignment="1">
      <alignment/>
    </xf>
    <xf numFmtId="3" fontId="37" fillId="0" borderId="17" xfId="78" applyNumberFormat="1" applyFont="1" applyFill="1" applyBorder="1" applyAlignment="1">
      <alignment horizontal="right"/>
      <protection/>
    </xf>
    <xf numFmtId="0" fontId="35" fillId="16" borderId="7" xfId="0" applyFont="1" applyFill="1" applyBorder="1" applyAlignment="1">
      <alignment horizontal="center" vertical="center" wrapText="1"/>
    </xf>
    <xf numFmtId="0" fontId="37" fillId="0" borderId="7" xfId="0" applyFont="1" applyBorder="1" applyAlignment="1">
      <alignment/>
    </xf>
    <xf numFmtId="1" fontId="37" fillId="0" borderId="7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144" fillId="0" borderId="7" xfId="0" applyFont="1" applyBorder="1" applyAlignment="1">
      <alignment horizontal="center"/>
    </xf>
    <xf numFmtId="0" fontId="17" fillId="0" borderId="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2" fontId="144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13" fillId="0" borderId="7" xfId="0" applyNumberFormat="1" applyFont="1" applyFill="1" applyBorder="1" applyAlignment="1">
      <alignment horizontal="center"/>
    </xf>
    <xf numFmtId="168" fontId="163" fillId="0" borderId="0" xfId="90" applyNumberFormat="1" applyFont="1" applyFill="1" applyBorder="1" applyAlignment="1">
      <alignment/>
    </xf>
    <xf numFmtId="168" fontId="144" fillId="0" borderId="7" xfId="90" applyNumberFormat="1" applyFont="1" applyFill="1" applyBorder="1" applyAlignment="1">
      <alignment horizontal="center"/>
    </xf>
    <xf numFmtId="0" fontId="146" fillId="0" borderId="0" xfId="0" applyFont="1" applyAlignment="1">
      <alignment horizontal="center" vertical="center"/>
    </xf>
    <xf numFmtId="0" fontId="144" fillId="0" borderId="23" xfId="0" applyFont="1" applyFill="1" applyBorder="1" applyAlignment="1">
      <alignment/>
    </xf>
    <xf numFmtId="0" fontId="11" fillId="0" borderId="7" xfId="0" applyFont="1" applyBorder="1" applyAlignment="1">
      <alignment horizontal="center"/>
    </xf>
    <xf numFmtId="168" fontId="144" fillId="0" borderId="36" xfId="90" applyNumberFormat="1" applyFont="1" applyFill="1" applyBorder="1" applyAlignment="1">
      <alignment horizontal="center"/>
    </xf>
    <xf numFmtId="0" fontId="145" fillId="0" borderId="33" xfId="0" applyFont="1" applyBorder="1" applyAlignment="1">
      <alignment/>
    </xf>
    <xf numFmtId="0" fontId="145" fillId="0" borderId="23" xfId="0" applyFont="1" applyBorder="1" applyAlignment="1">
      <alignment/>
    </xf>
    <xf numFmtId="0" fontId="157" fillId="0" borderId="7" xfId="0" applyFont="1" applyBorder="1" applyAlignment="1">
      <alignment horizontal="center" vertical="center"/>
    </xf>
    <xf numFmtId="3" fontId="157" fillId="0" borderId="7" xfId="0" applyNumberFormat="1" applyFont="1" applyBorder="1" applyAlignment="1">
      <alignment/>
    </xf>
    <xf numFmtId="3" fontId="157" fillId="0" borderId="7" xfId="42" applyNumberFormat="1" applyFont="1" applyBorder="1" applyAlignment="1">
      <alignment/>
    </xf>
    <xf numFmtId="0" fontId="146" fillId="0" borderId="7" xfId="0" applyFont="1" applyBorder="1" applyAlignment="1">
      <alignment horizontal="left" vertical="center"/>
    </xf>
    <xf numFmtId="0" fontId="35" fillId="0" borderId="7" xfId="0" applyFont="1" applyBorder="1" applyAlignment="1">
      <alignment horizontal="center" vertical="center" wrapText="1"/>
    </xf>
    <xf numFmtId="0" fontId="161" fillId="0" borderId="0" xfId="0" applyFont="1" applyAlignment="1">
      <alignment/>
    </xf>
    <xf numFmtId="167" fontId="156" fillId="0" borderId="7" xfId="0" applyNumberFormat="1" applyFont="1" applyFill="1" applyBorder="1" applyAlignment="1">
      <alignment horizontal="left"/>
    </xf>
    <xf numFmtId="0" fontId="161" fillId="0" borderId="33" xfId="0" applyFont="1" applyFill="1" applyBorder="1" applyAlignment="1">
      <alignment horizontal="right" vertical="center"/>
    </xf>
    <xf numFmtId="167" fontId="156" fillId="0" borderId="17" xfId="0" applyNumberFormat="1" applyFont="1" applyFill="1" applyBorder="1" applyAlignment="1">
      <alignment horizontal="left" vertical="center"/>
    </xf>
    <xf numFmtId="164" fontId="37" fillId="0" borderId="7" xfId="86" applyFont="1" applyFill="1" applyBorder="1" applyAlignment="1">
      <alignment/>
      <protection/>
    </xf>
    <xf numFmtId="0" fontId="161" fillId="0" borderId="7" xfId="0" applyFont="1" applyFill="1" applyBorder="1" applyAlignment="1">
      <alignment horizontal="right" vertical="center"/>
    </xf>
    <xf numFmtId="0" fontId="157" fillId="0" borderId="7" xfId="0" applyFont="1" applyFill="1" applyBorder="1" applyAlignment="1">
      <alignment horizontal="right" vertical="center"/>
    </xf>
    <xf numFmtId="0" fontId="163" fillId="16" borderId="7" xfId="0" applyFont="1" applyFill="1" applyBorder="1" applyAlignment="1">
      <alignment horizontal="center" vertical="center"/>
    </xf>
    <xf numFmtId="0" fontId="37" fillId="7" borderId="7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/>
    </xf>
    <xf numFmtId="0" fontId="29" fillId="0" borderId="7" xfId="0" applyFont="1" applyFill="1" applyBorder="1" applyAlignment="1">
      <alignment horizontal="right" vertical="center"/>
    </xf>
    <xf numFmtId="0" fontId="37" fillId="0" borderId="7" xfId="0" applyFont="1" applyBorder="1" applyAlignment="1">
      <alignment horizontal="right" vertical="center"/>
    </xf>
    <xf numFmtId="0" fontId="146" fillId="0" borderId="11" xfId="0" applyFont="1" applyBorder="1" applyAlignment="1">
      <alignment horizontal="center" vertical="center"/>
    </xf>
    <xf numFmtId="0" fontId="146" fillId="0" borderId="20" xfId="0" applyFont="1" applyFill="1" applyBorder="1" applyAlignment="1">
      <alignment horizontal="center" vertical="center"/>
    </xf>
    <xf numFmtId="169" fontId="163" fillId="0" borderId="7" xfId="0" applyNumberFormat="1" applyFont="1" applyFill="1" applyBorder="1" applyAlignment="1">
      <alignment horizontal="center" vertical="center"/>
    </xf>
    <xf numFmtId="0" fontId="37" fillId="37" borderId="33" xfId="0" applyFont="1" applyFill="1" applyBorder="1" applyAlignment="1">
      <alignment horizontal="right" vertical="center"/>
    </xf>
    <xf numFmtId="0" fontId="151" fillId="0" borderId="37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90"/>
    </xf>
    <xf numFmtId="167" fontId="13" fillId="0" borderId="0" xfId="0" applyNumberFormat="1" applyFont="1" applyAlignment="1">
      <alignment/>
    </xf>
    <xf numFmtId="0" fontId="157" fillId="0" borderId="17" xfId="0" applyFont="1" applyFill="1" applyBorder="1" applyAlignment="1">
      <alignment horizontal="right" vertical="center"/>
    </xf>
    <xf numFmtId="3" fontId="157" fillId="33" borderId="38" xfId="0" applyNumberFormat="1" applyFont="1" applyFill="1" applyBorder="1" applyAlignment="1">
      <alignment/>
    </xf>
    <xf numFmtId="0" fontId="157" fillId="0" borderId="7" xfId="0" applyFont="1" applyBorder="1" applyAlignment="1">
      <alignment horizontal="right"/>
    </xf>
    <xf numFmtId="0" fontId="157" fillId="0" borderId="0" xfId="0" applyFont="1" applyAlignment="1">
      <alignment/>
    </xf>
    <xf numFmtId="0" fontId="0" fillId="0" borderId="0" xfId="0" applyAlignment="1">
      <alignment horizontal="center"/>
    </xf>
    <xf numFmtId="167" fontId="48" fillId="0" borderId="7" xfId="42" applyNumberFormat="1" applyFont="1" applyFill="1" applyBorder="1" applyAlignment="1">
      <alignment horizontal="center" textRotation="90"/>
    </xf>
    <xf numFmtId="0" fontId="48" fillId="0" borderId="7" xfId="0" applyFont="1" applyFill="1" applyBorder="1" applyAlignment="1">
      <alignment horizontal="center" textRotation="90" wrapText="1"/>
    </xf>
    <xf numFmtId="0" fontId="48" fillId="0" borderId="7" xfId="78" applyFont="1" applyBorder="1" applyAlignment="1">
      <alignment horizontal="left" vertical="center" wrapText="1"/>
      <protection/>
    </xf>
    <xf numFmtId="3" fontId="48" fillId="0" borderId="7" xfId="58" applyNumberFormat="1" applyFont="1" applyFill="1" applyBorder="1" applyAlignment="1">
      <alignment horizontal="center" textRotation="90"/>
    </xf>
    <xf numFmtId="3" fontId="48" fillId="0" borderId="7" xfId="78" applyNumberFormat="1" applyFont="1" applyFill="1" applyBorder="1" applyAlignment="1">
      <alignment horizontal="center" textRotation="90"/>
      <protection/>
    </xf>
    <xf numFmtId="3" fontId="48" fillId="0" borderId="7" xfId="58" applyNumberFormat="1" applyFont="1" applyFill="1" applyBorder="1" applyAlignment="1">
      <alignment horizontal="center" textRotation="90" wrapText="1"/>
    </xf>
    <xf numFmtId="3" fontId="48" fillId="0" borderId="7" xfId="78" applyNumberFormat="1" applyFont="1" applyFill="1" applyBorder="1" applyAlignment="1">
      <alignment horizontal="center" textRotation="90" wrapText="1"/>
      <protection/>
    </xf>
    <xf numFmtId="0" fontId="48" fillId="0" borderId="7" xfId="0" applyFont="1" applyFill="1" applyBorder="1" applyAlignment="1">
      <alignment horizontal="left" vertical="center" wrapText="1"/>
    </xf>
    <xf numFmtId="3" fontId="48" fillId="0" borderId="7" xfId="0" applyNumberFormat="1" applyFont="1" applyFill="1" applyBorder="1" applyAlignment="1">
      <alignment horizontal="center" textRotation="90"/>
    </xf>
    <xf numFmtId="3" fontId="48" fillId="0" borderId="7" xfId="0" applyNumberFormat="1" applyFont="1" applyFill="1" applyBorder="1" applyAlignment="1">
      <alignment horizontal="center" textRotation="90" wrapText="1"/>
    </xf>
    <xf numFmtId="0" fontId="48" fillId="4" borderId="7" xfId="0" applyFont="1" applyFill="1" applyBorder="1" applyAlignment="1">
      <alignment horizontal="left" vertical="center" wrapText="1"/>
    </xf>
    <xf numFmtId="3" fontId="48" fillId="4" borderId="7" xfId="0" applyNumberFormat="1" applyFont="1" applyFill="1" applyBorder="1" applyAlignment="1">
      <alignment horizontal="center" textRotation="90"/>
    </xf>
    <xf numFmtId="3" fontId="48" fillId="4" borderId="7" xfId="0" applyNumberFormat="1" applyFont="1" applyFill="1" applyBorder="1" applyAlignment="1">
      <alignment horizontal="center" textRotation="90" wrapText="1"/>
    </xf>
    <xf numFmtId="3" fontId="48" fillId="4" borderId="7" xfId="58" applyNumberFormat="1" applyFont="1" applyFill="1" applyBorder="1" applyAlignment="1">
      <alignment horizontal="center" textRotation="90"/>
    </xf>
    <xf numFmtId="3" fontId="48" fillId="4" borderId="7" xfId="78" applyNumberFormat="1" applyFont="1" applyFill="1" applyBorder="1" applyAlignment="1">
      <alignment horizontal="center" textRotation="90"/>
      <protection/>
    </xf>
    <xf numFmtId="0" fontId="48" fillId="0" borderId="0" xfId="0" applyFont="1" applyAlignment="1">
      <alignment/>
    </xf>
    <xf numFmtId="0" fontId="48" fillId="0" borderId="7" xfId="0" applyFont="1" applyBorder="1" applyAlignment="1">
      <alignment/>
    </xf>
    <xf numFmtId="3" fontId="48" fillId="0" borderId="7" xfId="42" applyNumberFormat="1" applyFont="1" applyFill="1" applyBorder="1" applyAlignment="1">
      <alignment horizontal="center" textRotation="90" wrapText="1"/>
    </xf>
    <xf numFmtId="167" fontId="48" fillId="0" borderId="7" xfId="42" applyNumberFormat="1" applyFont="1" applyFill="1" applyBorder="1" applyAlignment="1">
      <alignment horizontal="center" textRotation="90" wrapText="1"/>
    </xf>
    <xf numFmtId="3" fontId="48" fillId="0" borderId="7" xfId="42" applyNumberFormat="1" applyFont="1" applyFill="1" applyBorder="1" applyAlignment="1">
      <alignment horizontal="center" textRotation="90"/>
    </xf>
    <xf numFmtId="3" fontId="48" fillId="0" borderId="7" xfId="0" applyNumberFormat="1" applyFont="1" applyBorder="1" applyAlignment="1">
      <alignment horizontal="center" textRotation="90"/>
    </xf>
    <xf numFmtId="167" fontId="23" fillId="0" borderId="7" xfId="0" applyNumberFormat="1" applyFont="1" applyBorder="1" applyAlignment="1">
      <alignment/>
    </xf>
    <xf numFmtId="166" fontId="157" fillId="0" borderId="7" xfId="0" applyNumberFormat="1" applyFont="1" applyBorder="1" applyAlignment="1">
      <alignment/>
    </xf>
    <xf numFmtId="166" fontId="35" fillId="0" borderId="7" xfId="0" applyNumberFormat="1" applyFont="1" applyFill="1" applyBorder="1" applyAlignment="1">
      <alignment/>
    </xf>
    <xf numFmtId="3" fontId="145" fillId="0" borderId="7" xfId="0" applyNumberFormat="1" applyFont="1" applyBorder="1" applyAlignment="1">
      <alignment horizontal="right" vertical="center"/>
    </xf>
    <xf numFmtId="166" fontId="23" fillId="0" borderId="17" xfId="0" applyNumberFormat="1" applyFont="1" applyFill="1" applyBorder="1" applyAlignment="1">
      <alignment/>
    </xf>
    <xf numFmtId="3" fontId="164" fillId="0" borderId="0" xfId="0" applyNumberFormat="1" applyFont="1" applyAlignment="1">
      <alignment/>
    </xf>
    <xf numFmtId="3" fontId="50" fillId="0" borderId="7" xfId="0" applyNumberFormat="1" applyFont="1" applyBorder="1" applyAlignment="1">
      <alignment horizontal="center" vertical="center" textRotation="90"/>
    </xf>
    <xf numFmtId="166" fontId="50" fillId="0" borderId="7" xfId="59" applyNumberFormat="1" applyFont="1" applyFill="1" applyBorder="1" applyAlignment="1">
      <alignment horizontal="center" textRotation="90"/>
    </xf>
    <xf numFmtId="166" fontId="50" fillId="0" borderId="7" xfId="59" applyNumberFormat="1" applyFont="1" applyFill="1" applyBorder="1" applyAlignment="1">
      <alignment horizontal="center" vertical="center" textRotation="90"/>
    </xf>
    <xf numFmtId="0" fontId="144" fillId="0" borderId="0" xfId="0" applyFont="1" applyFill="1" applyBorder="1" applyAlignment="1">
      <alignment/>
    </xf>
    <xf numFmtId="0" fontId="14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167" fontId="144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166" fontId="41" fillId="0" borderId="0" xfId="59" applyNumberFormat="1" applyFont="1" applyFill="1" applyBorder="1" applyAlignment="1">
      <alignment horizontal="center" vertical="center"/>
    </xf>
    <xf numFmtId="166" fontId="47" fillId="0" borderId="0" xfId="59" applyNumberFormat="1" applyFont="1" applyFill="1" applyBorder="1" applyAlignment="1">
      <alignment horizontal="center" vertical="center"/>
    </xf>
    <xf numFmtId="0" fontId="146" fillId="0" borderId="7" xfId="0" applyFont="1" applyFill="1" applyBorder="1" applyAlignment="1">
      <alignment horizontal="center" vertical="center" wrapText="1"/>
    </xf>
    <xf numFmtId="167" fontId="153" fillId="0" borderId="0" xfId="42" applyNumberFormat="1" applyFont="1" applyFill="1" applyBorder="1" applyAlignment="1">
      <alignment/>
    </xf>
    <xf numFmtId="167" fontId="146" fillId="0" borderId="7" xfId="42" applyNumberFormat="1" applyFont="1" applyFill="1" applyBorder="1" applyAlignment="1">
      <alignment/>
    </xf>
    <xf numFmtId="3" fontId="50" fillId="0" borderId="7" xfId="0" applyNumberFormat="1" applyFont="1" applyBorder="1" applyAlignment="1">
      <alignment horizontal="center" vertical="center" textRotation="90" wrapText="1"/>
    </xf>
    <xf numFmtId="3" fontId="165" fillId="0" borderId="7" xfId="0" applyNumberFormat="1" applyFont="1" applyBorder="1" applyAlignment="1">
      <alignment horizontal="center" vertical="center" textRotation="90"/>
    </xf>
    <xf numFmtId="3" fontId="50" fillId="0" borderId="7" xfId="59" applyNumberFormat="1" applyFont="1" applyFill="1" applyBorder="1" applyAlignment="1">
      <alignment horizontal="center" vertical="center" textRotation="90"/>
    </xf>
    <xf numFmtId="0" fontId="53" fillId="0" borderId="0" xfId="0" applyFont="1" applyAlignment="1">
      <alignment/>
    </xf>
    <xf numFmtId="0" fontId="50" fillId="0" borderId="7" xfId="0" applyFont="1" applyFill="1" applyBorder="1" applyAlignment="1">
      <alignment horizontal="center" textRotation="90" wrapText="1"/>
    </xf>
    <xf numFmtId="166" fontId="52" fillId="0" borderId="0" xfId="59" applyNumberFormat="1" applyFont="1" applyFill="1" applyBorder="1" applyAlignment="1">
      <alignment textRotation="90"/>
    </xf>
    <xf numFmtId="0" fontId="53" fillId="0" borderId="0" xfId="0" applyFont="1" applyFill="1" applyAlignment="1">
      <alignment/>
    </xf>
    <xf numFmtId="167" fontId="53" fillId="0" borderId="0" xfId="0" applyNumberFormat="1" applyFont="1" applyBorder="1" applyAlignment="1">
      <alignment/>
    </xf>
    <xf numFmtId="0" fontId="166" fillId="0" borderId="0" xfId="0" applyFont="1" applyAlignment="1">
      <alignment/>
    </xf>
    <xf numFmtId="0" fontId="167" fillId="0" borderId="0" xfId="0" applyFont="1" applyAlignment="1">
      <alignment/>
    </xf>
    <xf numFmtId="0" fontId="156" fillId="0" borderId="0" xfId="0" applyFont="1" applyFill="1" applyBorder="1" applyAlignment="1">
      <alignment/>
    </xf>
    <xf numFmtId="3" fontId="167" fillId="0" borderId="0" xfId="0" applyNumberFormat="1" applyFont="1" applyAlignment="1">
      <alignment/>
    </xf>
    <xf numFmtId="0" fontId="0" fillId="0" borderId="7" xfId="0" applyBorder="1" applyAlignment="1">
      <alignment/>
    </xf>
    <xf numFmtId="0" fontId="10" fillId="0" borderId="39" xfId="0" applyFont="1" applyFill="1" applyBorder="1" applyAlignment="1">
      <alignment vertical="center"/>
    </xf>
    <xf numFmtId="0" fontId="4" fillId="0" borderId="7" xfId="0" applyFont="1" applyFill="1" applyBorder="1" applyAlignment="1">
      <alignment vertical="top"/>
    </xf>
    <xf numFmtId="0" fontId="10" fillId="0" borderId="17" xfId="0" applyFont="1" applyFill="1" applyBorder="1" applyAlignment="1">
      <alignment vertical="center"/>
    </xf>
    <xf numFmtId="167" fontId="153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157" fillId="33" borderId="22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/>
    </xf>
    <xf numFmtId="0" fontId="161" fillId="0" borderId="17" xfId="0" applyFont="1" applyFill="1" applyBorder="1" applyAlignment="1">
      <alignment horizontal="right" vertical="center"/>
    </xf>
    <xf numFmtId="0" fontId="155" fillId="0" borderId="7" xfId="0" applyFont="1" applyFill="1" applyBorder="1" applyAlignment="1">
      <alignment/>
    </xf>
    <xf numFmtId="3" fontId="156" fillId="0" borderId="7" xfId="0" applyNumberFormat="1" applyFont="1" applyFill="1" applyBorder="1" applyAlignment="1">
      <alignment/>
    </xf>
    <xf numFmtId="3" fontId="37" fillId="0" borderId="7" xfId="0" applyNumberFormat="1" applyFont="1" applyFill="1" applyBorder="1" applyAlignment="1">
      <alignment horizontal="right"/>
    </xf>
    <xf numFmtId="0" fontId="156" fillId="0" borderId="17" xfId="0" applyFont="1" applyFill="1" applyBorder="1" applyAlignment="1">
      <alignment/>
    </xf>
    <xf numFmtId="3" fontId="156" fillId="0" borderId="17" xfId="0" applyNumberFormat="1" applyFont="1" applyFill="1" applyBorder="1" applyAlignment="1">
      <alignment/>
    </xf>
    <xf numFmtId="3" fontId="37" fillId="0" borderId="17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55" fillId="0" borderId="23" xfId="0" applyFont="1" applyFill="1" applyBorder="1" applyAlignment="1">
      <alignment/>
    </xf>
    <xf numFmtId="171" fontId="161" fillId="0" borderId="7" xfId="0" applyNumberFormat="1" applyFont="1" applyFill="1" applyBorder="1" applyAlignment="1">
      <alignment horizontal="right" vertical="center"/>
    </xf>
    <xf numFmtId="164" fontId="156" fillId="0" borderId="7" xfId="86" applyFont="1" applyFill="1" applyBorder="1" applyAlignment="1">
      <alignment/>
      <protection/>
    </xf>
    <xf numFmtId="0" fontId="37" fillId="0" borderId="23" xfId="0" applyFont="1" applyFill="1" applyBorder="1" applyAlignment="1">
      <alignment/>
    </xf>
    <xf numFmtId="2" fontId="17" fillId="0" borderId="7" xfId="0" applyNumberFormat="1" applyFont="1" applyFill="1" applyBorder="1" applyAlignment="1">
      <alignment horizontal="center" vertical="center"/>
    </xf>
    <xf numFmtId="169" fontId="168" fillId="0" borderId="7" xfId="0" applyNumberFormat="1" applyFont="1" applyFill="1" applyBorder="1" applyAlignment="1">
      <alignment horizontal="center" vertical="center"/>
    </xf>
    <xf numFmtId="3" fontId="35" fillId="0" borderId="7" xfId="0" applyNumberFormat="1" applyFont="1" applyBorder="1" applyAlignment="1">
      <alignment/>
    </xf>
    <xf numFmtId="0" fontId="57" fillId="0" borderId="0" xfId="0" applyFont="1" applyAlignment="1">
      <alignment/>
    </xf>
    <xf numFmtId="0" fontId="167" fillId="0" borderId="0" xfId="0" applyFont="1" applyFill="1" applyAlignment="1">
      <alignment/>
    </xf>
    <xf numFmtId="0" fontId="58" fillId="0" borderId="41" xfId="0" applyFont="1" applyBorder="1" applyAlignment="1">
      <alignment horizontal="center" vertical="center"/>
    </xf>
    <xf numFmtId="0" fontId="152" fillId="0" borderId="37" xfId="0" applyFont="1" applyFill="1" applyBorder="1" applyAlignment="1">
      <alignment horizontal="center" vertical="center"/>
    </xf>
    <xf numFmtId="0" fontId="152" fillId="0" borderId="41" xfId="0" applyFont="1" applyBorder="1" applyAlignment="1">
      <alignment horizontal="center" vertical="center"/>
    </xf>
    <xf numFmtId="0" fontId="152" fillId="0" borderId="42" xfId="0" applyFont="1" applyBorder="1" applyAlignment="1">
      <alignment horizontal="center" vertical="center"/>
    </xf>
    <xf numFmtId="0" fontId="152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vertical="center"/>
    </xf>
    <xf numFmtId="3" fontId="156" fillId="0" borderId="24" xfId="0" applyNumberFormat="1" applyFont="1" applyBorder="1" applyAlignment="1">
      <alignment vertical="center"/>
    </xf>
    <xf numFmtId="3" fontId="37" fillId="0" borderId="35" xfId="0" applyNumberFormat="1" applyFont="1" applyBorder="1" applyAlignment="1">
      <alignment vertical="center"/>
    </xf>
    <xf numFmtId="3" fontId="35" fillId="0" borderId="45" xfId="0" applyNumberFormat="1" applyFont="1" applyBorder="1" applyAlignment="1">
      <alignment vertical="center"/>
    </xf>
    <xf numFmtId="0" fontId="37" fillId="0" borderId="33" xfId="0" applyFont="1" applyBorder="1" applyAlignment="1">
      <alignment vertical="center"/>
    </xf>
    <xf numFmtId="3" fontId="35" fillId="0" borderId="46" xfId="0" applyNumberFormat="1" applyFont="1" applyBorder="1" applyAlignment="1">
      <alignment vertical="center"/>
    </xf>
    <xf numFmtId="3" fontId="37" fillId="0" borderId="7" xfId="0" applyNumberFormat="1" applyFont="1" applyBorder="1" applyAlignment="1">
      <alignment vertical="center"/>
    </xf>
    <xf numFmtId="0" fontId="35" fillId="32" borderId="33" xfId="0" applyFont="1" applyFill="1" applyBorder="1" applyAlignment="1">
      <alignment vertical="center"/>
    </xf>
    <xf numFmtId="3" fontId="157" fillId="32" borderId="16" xfId="0" applyNumberFormat="1" applyFont="1" applyFill="1" applyBorder="1" applyAlignment="1">
      <alignment vertical="center"/>
    </xf>
    <xf numFmtId="3" fontId="35" fillId="32" borderId="35" xfId="0" applyNumberFormat="1" applyFont="1" applyFill="1" applyBorder="1" applyAlignment="1">
      <alignment vertical="center"/>
    </xf>
    <xf numFmtId="3" fontId="35" fillId="32" borderId="45" xfId="0" applyNumberFormat="1" applyFont="1" applyFill="1" applyBorder="1" applyAlignment="1">
      <alignment vertical="center"/>
    </xf>
    <xf numFmtId="3" fontId="37" fillId="0" borderId="47" xfId="0" applyNumberFormat="1" applyFont="1" applyBorder="1" applyAlignment="1">
      <alignment vertical="center"/>
    </xf>
    <xf numFmtId="3" fontId="35" fillId="32" borderId="7" xfId="0" applyNumberFormat="1" applyFont="1" applyFill="1" applyBorder="1" applyAlignment="1">
      <alignment vertical="center"/>
    </xf>
    <xf numFmtId="3" fontId="35" fillId="32" borderId="47" xfId="0" applyNumberFormat="1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3" fontId="35" fillId="0" borderId="7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3" fontId="35" fillId="32" borderId="46" xfId="0" applyNumberFormat="1" applyFont="1" applyFill="1" applyBorder="1" applyAlignment="1">
      <alignment vertical="center"/>
    </xf>
    <xf numFmtId="3" fontId="157" fillId="0" borderId="16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right" vertical="center"/>
    </xf>
    <xf numFmtId="3" fontId="35" fillId="0" borderId="7" xfId="0" applyNumberFormat="1" applyFont="1" applyBorder="1" applyAlignment="1">
      <alignment horizontal="center" vertical="center"/>
    </xf>
    <xf numFmtId="0" fontId="35" fillId="32" borderId="30" xfId="0" applyFont="1" applyFill="1" applyBorder="1" applyAlignment="1">
      <alignment vertical="center"/>
    </xf>
    <xf numFmtId="3" fontId="157" fillId="32" borderId="19" xfId="0" applyNumberFormat="1" applyFont="1" applyFill="1" applyBorder="1" applyAlignment="1">
      <alignment vertical="center"/>
    </xf>
    <xf numFmtId="3" fontId="35" fillId="32" borderId="12" xfId="0" applyNumberFormat="1" applyFont="1" applyFill="1" applyBorder="1" applyAlignment="1">
      <alignment vertical="center"/>
    </xf>
    <xf numFmtId="3" fontId="35" fillId="32" borderId="48" xfId="0" applyNumberFormat="1" applyFont="1" applyFill="1" applyBorder="1" applyAlignment="1">
      <alignment vertical="center"/>
    </xf>
    <xf numFmtId="0" fontId="35" fillId="0" borderId="49" xfId="0" applyFont="1" applyFill="1" applyBorder="1" applyAlignment="1">
      <alignment vertical="center"/>
    </xf>
    <xf numFmtId="3" fontId="35" fillId="0" borderId="50" xfId="0" applyNumberFormat="1" applyFont="1" applyFill="1" applyBorder="1" applyAlignment="1">
      <alignment vertical="center"/>
    </xf>
    <xf numFmtId="3" fontId="35" fillId="0" borderId="34" xfId="0" applyNumberFormat="1" applyFont="1" applyFill="1" applyBorder="1" applyAlignment="1">
      <alignment vertical="center"/>
    </xf>
    <xf numFmtId="3" fontId="35" fillId="0" borderId="51" xfId="0" applyNumberFormat="1" applyFont="1" applyFill="1" applyBorder="1" applyAlignment="1">
      <alignment vertical="center"/>
    </xf>
    <xf numFmtId="3" fontId="35" fillId="0" borderId="52" xfId="0" applyNumberFormat="1" applyFont="1" applyFill="1" applyBorder="1" applyAlignment="1">
      <alignment vertical="center"/>
    </xf>
    <xf numFmtId="3" fontId="35" fillId="0" borderId="53" xfId="0" applyNumberFormat="1" applyFont="1" applyFill="1" applyBorder="1" applyAlignment="1">
      <alignment vertical="center"/>
    </xf>
    <xf numFmtId="3" fontId="37" fillId="0" borderId="18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5" fillId="0" borderId="55" xfId="0" applyNumberFormat="1" applyFont="1" applyBorder="1" applyAlignment="1">
      <alignment vertical="center"/>
    </xf>
    <xf numFmtId="3" fontId="37" fillId="0" borderId="24" xfId="0" applyNumberFormat="1" applyFont="1" applyBorder="1" applyAlignment="1">
      <alignment vertical="center"/>
    </xf>
    <xf numFmtId="3" fontId="35" fillId="32" borderId="24" xfId="0" applyNumberFormat="1" applyFont="1" applyFill="1" applyBorder="1" applyAlignment="1">
      <alignment vertical="center"/>
    </xf>
    <xf numFmtId="3" fontId="35" fillId="0" borderId="24" xfId="0" applyNumberFormat="1" applyFont="1" applyBorder="1" applyAlignment="1">
      <alignment horizontal="right" vertical="center"/>
    </xf>
    <xf numFmtId="3" fontId="35" fillId="0" borderId="35" xfId="0" applyNumberFormat="1" applyFont="1" applyBorder="1" applyAlignment="1">
      <alignment horizontal="right" vertical="center"/>
    </xf>
    <xf numFmtId="3" fontId="35" fillId="0" borderId="35" xfId="0" applyNumberFormat="1" applyFont="1" applyBorder="1" applyAlignment="1">
      <alignment horizontal="center" vertical="center"/>
    </xf>
    <xf numFmtId="3" fontId="35" fillId="0" borderId="35" xfId="0" applyNumberFormat="1" applyFont="1" applyBorder="1" applyAlignment="1">
      <alignment vertical="center"/>
    </xf>
    <xf numFmtId="3" fontId="35" fillId="0" borderId="16" xfId="0" applyNumberFormat="1" applyFont="1" applyBorder="1" applyAlignment="1">
      <alignment horizontal="right" vertical="center"/>
    </xf>
    <xf numFmtId="174" fontId="35" fillId="0" borderId="16" xfId="0" applyNumberFormat="1" applyFont="1" applyBorder="1" applyAlignment="1">
      <alignment vertical="center"/>
    </xf>
    <xf numFmtId="174" fontId="35" fillId="0" borderId="7" xfId="0" applyNumberFormat="1" applyFont="1" applyBorder="1" applyAlignment="1">
      <alignment vertical="center"/>
    </xf>
    <xf numFmtId="174" fontId="35" fillId="0" borderId="46" xfId="0" applyNumberFormat="1" applyFont="1" applyBorder="1" applyAlignment="1">
      <alignment vertical="center"/>
    </xf>
    <xf numFmtId="174" fontId="35" fillId="32" borderId="16" xfId="0" applyNumberFormat="1" applyFont="1" applyFill="1" applyBorder="1" applyAlignment="1">
      <alignment vertical="center"/>
    </xf>
    <xf numFmtId="174" fontId="35" fillId="32" borderId="7" xfId="0" applyNumberFormat="1" applyFont="1" applyFill="1" applyBorder="1" applyAlignment="1">
      <alignment vertical="center"/>
    </xf>
    <xf numFmtId="174" fontId="35" fillId="32" borderId="46" xfId="0" applyNumberFormat="1" applyFont="1" applyFill="1" applyBorder="1" applyAlignment="1">
      <alignment vertical="center"/>
    </xf>
    <xf numFmtId="3" fontId="35" fillId="0" borderId="24" xfId="0" applyNumberFormat="1" applyFont="1" applyBorder="1" applyAlignment="1">
      <alignment vertical="center"/>
    </xf>
    <xf numFmtId="174" fontId="35" fillId="0" borderId="24" xfId="0" applyNumberFormat="1" applyFont="1" applyBorder="1" applyAlignment="1">
      <alignment vertical="center"/>
    </xf>
    <xf numFmtId="174" fontId="35" fillId="0" borderId="7" xfId="0" applyNumberFormat="1" applyFont="1" applyBorder="1" applyAlignment="1">
      <alignment horizontal="right" vertical="center"/>
    </xf>
    <xf numFmtId="174" fontId="35" fillId="32" borderId="19" xfId="0" applyNumberFormat="1" applyFont="1" applyFill="1" applyBorder="1" applyAlignment="1">
      <alignment vertical="center"/>
    </xf>
    <xf numFmtId="3" fontId="35" fillId="32" borderId="19" xfId="0" applyNumberFormat="1" applyFont="1" applyFill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32" borderId="11" xfId="0" applyFont="1" applyFill="1" applyBorder="1" applyAlignment="1">
      <alignment vertical="center"/>
    </xf>
    <xf numFmtId="3" fontId="35" fillId="32" borderId="23" xfId="0" applyNumberFormat="1" applyFont="1" applyFill="1" applyBorder="1" applyAlignment="1">
      <alignment vertical="center"/>
    </xf>
    <xf numFmtId="3" fontId="35" fillId="0" borderId="16" xfId="0" applyNumberFormat="1" applyFont="1" applyBorder="1" applyAlignment="1">
      <alignment vertical="center"/>
    </xf>
    <xf numFmtId="3" fontId="35" fillId="32" borderId="56" xfId="0" applyNumberFormat="1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37" fillId="0" borderId="32" xfId="0" applyFont="1" applyBorder="1" applyAlignment="1">
      <alignment vertical="center"/>
    </xf>
    <xf numFmtId="3" fontId="156" fillId="0" borderId="15" xfId="0" applyNumberFormat="1" applyFont="1" applyBorder="1" applyAlignment="1">
      <alignment vertical="center"/>
    </xf>
    <xf numFmtId="3" fontId="156" fillId="0" borderId="35" xfId="0" applyNumberFormat="1" applyFont="1" applyBorder="1" applyAlignment="1">
      <alignment vertical="center"/>
    </xf>
    <xf numFmtId="3" fontId="35" fillId="32" borderId="16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horizontal="right" vertical="center"/>
    </xf>
    <xf numFmtId="3" fontId="157" fillId="0" borderId="7" xfId="0" applyNumberFormat="1" applyFont="1" applyBorder="1" applyAlignment="1">
      <alignment horizontal="right" vertical="center"/>
    </xf>
    <xf numFmtId="3" fontId="157" fillId="0" borderId="35" xfId="0" applyNumberFormat="1" applyFont="1" applyBorder="1" applyAlignment="1">
      <alignment horizontal="right" vertical="center"/>
    </xf>
    <xf numFmtId="0" fontId="35" fillId="0" borderId="21" xfId="0" applyFont="1" applyBorder="1" applyAlignment="1">
      <alignment vertical="center"/>
    </xf>
    <xf numFmtId="0" fontId="35" fillId="32" borderId="13" xfId="0" applyFont="1" applyFill="1" applyBorder="1" applyAlignment="1">
      <alignment vertical="center"/>
    </xf>
    <xf numFmtId="3" fontId="157" fillId="32" borderId="12" xfId="0" applyNumberFormat="1" applyFont="1" applyFill="1" applyBorder="1" applyAlignment="1">
      <alignment vertical="center"/>
    </xf>
    <xf numFmtId="0" fontId="35" fillId="0" borderId="57" xfId="0" applyFont="1" applyFill="1" applyBorder="1" applyAlignment="1">
      <alignment vertical="center"/>
    </xf>
    <xf numFmtId="0" fontId="37" fillId="0" borderId="11" xfId="0" applyFont="1" applyBorder="1" applyAlignment="1">
      <alignment vertical="center"/>
    </xf>
    <xf numFmtId="3" fontId="35" fillId="0" borderId="47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horizontal="center" vertical="center"/>
    </xf>
    <xf numFmtId="3" fontId="35" fillId="0" borderId="47" xfId="0" applyNumberFormat="1" applyFont="1" applyBorder="1" applyAlignment="1">
      <alignment horizontal="center" vertical="center"/>
    </xf>
    <xf numFmtId="3" fontId="35" fillId="32" borderId="58" xfId="0" applyNumberFormat="1" applyFont="1" applyFill="1" applyBorder="1" applyAlignment="1">
      <alignment vertical="center"/>
    </xf>
    <xf numFmtId="3" fontId="35" fillId="32" borderId="22" xfId="0" applyNumberFormat="1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3" fontId="35" fillId="0" borderId="47" xfId="0" applyNumberFormat="1" applyFont="1" applyBorder="1" applyAlignment="1">
      <alignment horizontal="right" vertical="center"/>
    </xf>
    <xf numFmtId="3" fontId="37" fillId="0" borderId="35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right" vertical="center"/>
    </xf>
    <xf numFmtId="3" fontId="37" fillId="0" borderId="60" xfId="0" applyNumberFormat="1" applyFont="1" applyBorder="1" applyAlignment="1">
      <alignment vertical="center"/>
    </xf>
    <xf numFmtId="3" fontId="156" fillId="0" borderId="15" xfId="0" applyNumberFormat="1" applyFont="1" applyBorder="1" applyAlignment="1">
      <alignment horizontal="right" vertical="center"/>
    </xf>
    <xf numFmtId="3" fontId="37" fillId="0" borderId="7" xfId="0" applyNumberFormat="1" applyFont="1" applyBorder="1" applyAlignment="1">
      <alignment horizontal="right" vertical="center"/>
    </xf>
    <xf numFmtId="3" fontId="156" fillId="0" borderId="7" xfId="0" applyNumberFormat="1" applyFont="1" applyBorder="1" applyAlignment="1">
      <alignment horizontal="right" vertical="center"/>
    </xf>
    <xf numFmtId="3" fontId="35" fillId="0" borderId="46" xfId="0" applyNumberFormat="1" applyFont="1" applyBorder="1" applyAlignment="1">
      <alignment horizontal="right" vertical="center"/>
    </xf>
    <xf numFmtId="3" fontId="157" fillId="32" borderId="56" xfId="0" applyNumberFormat="1" applyFont="1" applyFill="1" applyBorder="1" applyAlignment="1">
      <alignment vertical="center"/>
    </xf>
    <xf numFmtId="3" fontId="37" fillId="0" borderId="35" xfId="0" applyNumberFormat="1" applyFont="1" applyBorder="1" applyAlignment="1">
      <alignment horizontal="right" vertical="center"/>
    </xf>
    <xf numFmtId="3" fontId="35" fillId="32" borderId="52" xfId="0" applyNumberFormat="1" applyFont="1" applyFill="1" applyBorder="1" applyAlignment="1">
      <alignment horizontal="right" vertical="center"/>
    </xf>
    <xf numFmtId="3" fontId="35" fillId="32" borderId="34" xfId="0" applyNumberFormat="1" applyFont="1" applyFill="1" applyBorder="1" applyAlignment="1">
      <alignment horizontal="right" vertical="center"/>
    </xf>
    <xf numFmtId="3" fontId="35" fillId="32" borderId="7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3" fontId="37" fillId="0" borderId="16" xfId="0" applyNumberFormat="1" applyFont="1" applyBorder="1" applyAlignment="1">
      <alignment horizontal="right" vertical="center"/>
    </xf>
    <xf numFmtId="0" fontId="152" fillId="0" borderId="51" xfId="0" applyFont="1" applyFill="1" applyBorder="1" applyAlignment="1">
      <alignment horizontal="center" vertical="center" wrapText="1"/>
    </xf>
    <xf numFmtId="3" fontId="35" fillId="32" borderId="34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horizontal="right" vertical="center"/>
    </xf>
    <xf numFmtId="3" fontId="35" fillId="0" borderId="7" xfId="0" applyNumberFormat="1" applyFont="1" applyFill="1" applyBorder="1" applyAlignment="1">
      <alignment horizontal="right" vertical="center"/>
    </xf>
    <xf numFmtId="3" fontId="35" fillId="0" borderId="36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3" fontId="169" fillId="0" borderId="0" xfId="0" applyNumberFormat="1" applyFont="1" applyAlignment="1">
      <alignment/>
    </xf>
    <xf numFmtId="167" fontId="170" fillId="0" borderId="7" xfId="42" applyNumberFormat="1" applyFont="1" applyFill="1" applyBorder="1" applyAlignment="1">
      <alignment horizontal="center" textRotation="90"/>
    </xf>
    <xf numFmtId="3" fontId="157" fillId="33" borderId="22" xfId="0" applyNumberFormat="1" applyFont="1" applyFill="1" applyBorder="1" applyAlignment="1">
      <alignment/>
    </xf>
    <xf numFmtId="3" fontId="37" fillId="7" borderId="7" xfId="0" applyNumberFormat="1" applyFont="1" applyFill="1" applyBorder="1" applyAlignment="1">
      <alignment horizontal="right" vertical="center" wrapText="1"/>
    </xf>
    <xf numFmtId="2" fontId="17" fillId="36" borderId="7" xfId="0" applyNumberFormat="1" applyFont="1" applyFill="1" applyBorder="1" applyAlignment="1">
      <alignment horizontal="center" vertical="center"/>
    </xf>
    <xf numFmtId="167" fontId="22" fillId="0" borderId="7" xfId="42" applyNumberFormat="1" applyFont="1" applyFill="1" applyBorder="1" applyAlignment="1">
      <alignment/>
    </xf>
    <xf numFmtId="3" fontId="150" fillId="0" borderId="0" xfId="0" applyNumberFormat="1" applyFont="1" applyBorder="1" applyAlignment="1">
      <alignment horizontal="center"/>
    </xf>
    <xf numFmtId="0" fontId="161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0" borderId="35" xfId="0" applyFont="1" applyBorder="1" applyAlignment="1">
      <alignment/>
    </xf>
    <xf numFmtId="0" fontId="33" fillId="0" borderId="35" xfId="0" applyFont="1" applyBorder="1" applyAlignment="1">
      <alignment horizontal="center"/>
    </xf>
    <xf numFmtId="0" fontId="46" fillId="0" borderId="17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69" fontId="46" fillId="0" borderId="16" xfId="0" applyNumberFormat="1" applyFont="1" applyBorder="1" applyAlignment="1">
      <alignment horizontal="center"/>
    </xf>
    <xf numFmtId="0" fontId="46" fillId="0" borderId="7" xfId="0" applyFont="1" applyBorder="1" applyAlignment="1">
      <alignment horizontal="left" indent="29"/>
    </xf>
    <xf numFmtId="0" fontId="33" fillId="0" borderId="7" xfId="0" applyFont="1" applyBorder="1" applyAlignment="1">
      <alignment horizontal="center"/>
    </xf>
    <xf numFmtId="169" fontId="46" fillId="0" borderId="19" xfId="0" applyNumberFormat="1" applyFont="1" applyBorder="1" applyAlignment="1">
      <alignment horizontal="center"/>
    </xf>
    <xf numFmtId="0" fontId="46" fillId="0" borderId="12" xfId="0" applyFont="1" applyBorder="1" applyAlignment="1">
      <alignment horizontal="left" indent="29"/>
    </xf>
    <xf numFmtId="0" fontId="33" fillId="0" borderId="12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7" xfId="0" applyFont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2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41" xfId="0" applyFont="1" applyBorder="1" applyAlignment="1">
      <alignment horizontal="center"/>
    </xf>
    <xf numFmtId="0" fontId="45" fillId="0" borderId="51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0" xfId="0" applyFont="1" applyAlignment="1">
      <alignment horizontal="center"/>
    </xf>
    <xf numFmtId="3" fontId="150" fillId="0" borderId="0" xfId="0" applyNumberFormat="1" applyFont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center" vertical="center" wrapText="1"/>
    </xf>
    <xf numFmtId="3" fontId="15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2" fillId="0" borderId="33" xfId="0" applyFont="1" applyBorder="1" applyAlignment="1">
      <alignment vertical="center"/>
    </xf>
    <xf numFmtId="0" fontId="142" fillId="0" borderId="40" xfId="0" applyFont="1" applyBorder="1" applyAlignment="1">
      <alignment vertical="center"/>
    </xf>
    <xf numFmtId="0" fontId="142" fillId="0" borderId="23" xfId="0" applyFont="1" applyBorder="1" applyAlignment="1">
      <alignment vertical="center"/>
    </xf>
    <xf numFmtId="3" fontId="48" fillId="0" borderId="0" xfId="0" applyNumberFormat="1" applyFont="1" applyAlignment="1">
      <alignment/>
    </xf>
    <xf numFmtId="166" fontId="34" fillId="0" borderId="7" xfId="0" applyNumberFormat="1" applyFont="1" applyBorder="1" applyAlignment="1">
      <alignment horizontal="right"/>
    </xf>
    <xf numFmtId="167" fontId="34" fillId="0" borderId="7" xfId="42" applyNumberFormat="1" applyFont="1" applyBorder="1" applyAlignment="1">
      <alignment horizontal="right"/>
    </xf>
    <xf numFmtId="3" fontId="161" fillId="0" borderId="7" xfId="90" applyNumberFormat="1" applyFont="1" applyBorder="1" applyAlignment="1">
      <alignment/>
    </xf>
    <xf numFmtId="3" fontId="161" fillId="0" borderId="7" xfId="0" applyNumberFormat="1" applyFont="1" applyBorder="1" applyAlignment="1">
      <alignment/>
    </xf>
    <xf numFmtId="3" fontId="161" fillId="0" borderId="7" xfId="0" applyNumberFormat="1" applyFont="1" applyBorder="1" applyAlignment="1">
      <alignment vertical="center"/>
    </xf>
    <xf numFmtId="37" fontId="50" fillId="0" borderId="7" xfId="0" applyNumberFormat="1" applyFont="1" applyBorder="1" applyAlignment="1">
      <alignment horizontal="center" vertical="center" textRotation="90"/>
    </xf>
    <xf numFmtId="167" fontId="52" fillId="0" borderId="7" xfId="59" applyNumberFormat="1" applyFont="1" applyFill="1" applyBorder="1" applyAlignment="1">
      <alignment horizontal="center" textRotation="90"/>
    </xf>
    <xf numFmtId="43" fontId="53" fillId="0" borderId="0" xfId="0" applyNumberFormat="1" applyFont="1" applyAlignment="1">
      <alignment/>
    </xf>
    <xf numFmtId="166" fontId="30" fillId="0" borderId="0" xfId="59" applyNumberFormat="1" applyFont="1" applyFill="1" applyBorder="1" applyAlignment="1">
      <alignment horizontal="center" vertical="center"/>
    </xf>
    <xf numFmtId="0" fontId="16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 vertical="center"/>
    </xf>
    <xf numFmtId="166" fontId="31" fillId="0" borderId="0" xfId="59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horizontal="center" vertical="center"/>
    </xf>
    <xf numFmtId="3" fontId="156" fillId="0" borderId="7" xfId="58" applyNumberFormat="1" applyFont="1" applyFill="1" applyBorder="1" applyAlignment="1">
      <alignment horizontal="center"/>
    </xf>
    <xf numFmtId="3" fontId="156" fillId="0" borderId="7" xfId="0" applyNumberFormat="1" applyFont="1" applyFill="1" applyBorder="1" applyAlignment="1">
      <alignment horizontal="center"/>
    </xf>
    <xf numFmtId="3" fontId="156" fillId="0" borderId="7" xfId="0" applyNumberFormat="1" applyFont="1" applyBorder="1" applyAlignment="1">
      <alignment horizontal="center"/>
    </xf>
    <xf numFmtId="37" fontId="156" fillId="0" borderId="7" xfId="0" applyNumberFormat="1" applyFont="1" applyBorder="1" applyAlignment="1">
      <alignment horizontal="center"/>
    </xf>
    <xf numFmtId="167" fontId="37" fillId="0" borderId="7" xfId="0" applyNumberFormat="1" applyFont="1" applyBorder="1" applyAlignment="1">
      <alignment/>
    </xf>
    <xf numFmtId="3" fontId="156" fillId="0" borderId="7" xfId="0" applyNumberFormat="1" applyFont="1" applyBorder="1" applyAlignment="1">
      <alignment/>
    </xf>
    <xf numFmtId="3" fontId="37" fillId="0" borderId="7" xfId="58" applyNumberFormat="1" applyFont="1" applyFill="1" applyBorder="1" applyAlignment="1">
      <alignment horizontal="center"/>
    </xf>
    <xf numFmtId="37" fontId="156" fillId="0" borderId="7" xfId="0" applyNumberFormat="1" applyFont="1" applyFill="1" applyBorder="1" applyAlignment="1">
      <alignment horizontal="center"/>
    </xf>
    <xf numFmtId="37" fontId="156" fillId="0" borderId="7" xfId="0" applyNumberFormat="1" applyFont="1" applyBorder="1" applyAlignment="1">
      <alignment/>
    </xf>
    <xf numFmtId="3" fontId="23" fillId="0" borderId="0" xfId="42" applyNumberFormat="1" applyFont="1" applyFill="1" applyBorder="1" applyAlignment="1">
      <alignment horizontal="center"/>
    </xf>
    <xf numFmtId="0" fontId="161" fillId="0" borderId="0" xfId="0" applyFont="1" applyAlignment="1">
      <alignment/>
    </xf>
    <xf numFmtId="3" fontId="161" fillId="0" borderId="7" xfId="0" applyNumberFormat="1" applyFont="1" applyFill="1" applyBorder="1" applyAlignment="1">
      <alignment/>
    </xf>
    <xf numFmtId="167" fontId="158" fillId="0" borderId="7" xfId="42" applyNumberFormat="1" applyFont="1" applyFill="1" applyBorder="1" applyAlignment="1">
      <alignment/>
    </xf>
    <xf numFmtId="3" fontId="28" fillId="0" borderId="7" xfId="42" applyNumberFormat="1" applyFont="1" applyFill="1" applyBorder="1" applyAlignment="1">
      <alignment horizontal="center"/>
    </xf>
    <xf numFmtId="167" fontId="28" fillId="0" borderId="7" xfId="42" applyNumberFormat="1" applyFont="1" applyFill="1" applyBorder="1" applyAlignment="1">
      <alignment horizontal="center"/>
    </xf>
    <xf numFmtId="37" fontId="156" fillId="0" borderId="7" xfId="0" applyNumberFormat="1" applyFont="1" applyFill="1" applyBorder="1" applyAlignment="1">
      <alignment horizontal="right" vertical="center"/>
    </xf>
    <xf numFmtId="37" fontId="156" fillId="0" borderId="7" xfId="0" applyNumberFormat="1" applyFont="1" applyFill="1" applyBorder="1" applyAlignment="1">
      <alignment horizontal="center" vertical="center"/>
    </xf>
    <xf numFmtId="3" fontId="37" fillId="0" borderId="7" xfId="0" applyNumberFormat="1" applyFont="1" applyFill="1" applyBorder="1" applyAlignment="1">
      <alignment horizontal="right" vertical="center"/>
    </xf>
    <xf numFmtId="166" fontId="37" fillId="0" borderId="7" xfId="58" applyNumberFormat="1" applyFont="1" applyFill="1" applyBorder="1" applyAlignment="1">
      <alignment horizontal="right" vertical="center"/>
    </xf>
    <xf numFmtId="3" fontId="37" fillId="0" borderId="7" xfId="58" applyNumberFormat="1" applyFont="1" applyFill="1" applyBorder="1" applyAlignment="1">
      <alignment horizontal="right" vertical="center"/>
    </xf>
    <xf numFmtId="3" fontId="156" fillId="0" borderId="7" xfId="0" applyNumberFormat="1" applyFont="1" applyFill="1" applyBorder="1" applyAlignment="1">
      <alignment horizontal="right" vertical="center"/>
    </xf>
    <xf numFmtId="167" fontId="37" fillId="0" borderId="7" xfId="58" applyNumberFormat="1" applyFont="1" applyFill="1" applyBorder="1" applyAlignment="1">
      <alignment horizontal="right" vertical="center"/>
    </xf>
    <xf numFmtId="41" fontId="37" fillId="0" borderId="7" xfId="78" applyNumberFormat="1" applyFont="1" applyBorder="1" applyAlignment="1">
      <alignment horizontal="right" vertical="center"/>
      <protection/>
    </xf>
    <xf numFmtId="0" fontId="156" fillId="0" borderId="7" xfId="0" applyFont="1" applyBorder="1" applyAlignment="1">
      <alignment horizontal="right" vertical="center"/>
    </xf>
    <xf numFmtId="167" fontId="156" fillId="0" borderId="7" xfId="42" applyNumberFormat="1" applyFont="1" applyFill="1" applyBorder="1" applyAlignment="1">
      <alignment/>
    </xf>
    <xf numFmtId="167" fontId="156" fillId="0" borderId="7" xfId="42" applyNumberFormat="1" applyFont="1" applyFill="1" applyBorder="1" applyAlignment="1">
      <alignment vertical="center"/>
    </xf>
    <xf numFmtId="167" fontId="29" fillId="0" borderId="7" xfId="42" applyNumberFormat="1" applyFont="1" applyFill="1" applyBorder="1" applyAlignment="1">
      <alignment horizontal="right" vertical="center"/>
    </xf>
    <xf numFmtId="3" fontId="158" fillId="0" borderId="7" xfId="0" applyNumberFormat="1" applyFont="1" applyBorder="1" applyAlignment="1">
      <alignment/>
    </xf>
    <xf numFmtId="0" fontId="162" fillId="0" borderId="0" xfId="0" applyFont="1" applyAlignment="1">
      <alignment/>
    </xf>
    <xf numFmtId="167" fontId="170" fillId="0" borderId="7" xfId="42" applyNumberFormat="1" applyFont="1" applyFill="1" applyBorder="1" applyAlignment="1">
      <alignment horizontal="center" vertical="center" textRotation="90"/>
    </xf>
    <xf numFmtId="3" fontId="171" fillId="0" borderId="0" xfId="0" applyNumberFormat="1" applyFont="1" applyFill="1" applyBorder="1" applyAlignment="1">
      <alignment horizontal="center" vertical="center" wrapText="1"/>
    </xf>
    <xf numFmtId="0" fontId="172" fillId="0" borderId="0" xfId="0" applyFont="1" applyAlignment="1">
      <alignment/>
    </xf>
    <xf numFmtId="3" fontId="154" fillId="0" borderId="25" xfId="0" applyNumberFormat="1" applyFont="1" applyFill="1" applyBorder="1" applyAlignment="1">
      <alignment horizontal="center" vertical="center"/>
    </xf>
    <xf numFmtId="167" fontId="142" fillId="0" borderId="0" xfId="0" applyNumberFormat="1" applyFont="1" applyBorder="1" applyAlignment="1">
      <alignment/>
    </xf>
    <xf numFmtId="0" fontId="142" fillId="0" borderId="0" xfId="0" applyFont="1" applyBorder="1" applyAlignment="1">
      <alignment horizontal="center"/>
    </xf>
    <xf numFmtId="167" fontId="142" fillId="0" borderId="7" xfId="0" applyNumberFormat="1" applyFont="1" applyBorder="1" applyAlignment="1">
      <alignment/>
    </xf>
    <xf numFmtId="0" fontId="37" fillId="16" borderId="33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29" xfId="0" applyFont="1" applyFill="1" applyBorder="1" applyAlignment="1">
      <alignment horizontal="right" vertical="center"/>
    </xf>
    <xf numFmtId="167" fontId="155" fillId="0" borderId="7" xfId="0" applyNumberFormat="1" applyFont="1" applyFill="1" applyBorder="1" applyAlignment="1">
      <alignment/>
    </xf>
    <xf numFmtId="0" fontId="156" fillId="0" borderId="15" xfId="0" applyFont="1" applyBorder="1" applyAlignment="1">
      <alignment/>
    </xf>
    <xf numFmtId="3" fontId="37" fillId="0" borderId="44" xfId="0" applyNumberFormat="1" applyFont="1" applyBorder="1" applyAlignment="1">
      <alignment vertical="center"/>
    </xf>
    <xf numFmtId="0" fontId="156" fillId="0" borderId="7" xfId="0" applyFont="1" applyBorder="1" applyAlignment="1">
      <alignment/>
    </xf>
    <xf numFmtId="3" fontId="35" fillId="0" borderId="33" xfId="0" applyNumberFormat="1" applyFont="1" applyBorder="1" applyAlignment="1">
      <alignment vertical="center"/>
    </xf>
    <xf numFmtId="3" fontId="35" fillId="32" borderId="30" xfId="0" applyNumberFormat="1" applyFont="1" applyFill="1" applyBorder="1" applyAlignment="1">
      <alignment vertical="center"/>
    </xf>
    <xf numFmtId="3" fontId="35" fillId="0" borderId="28" xfId="0" applyNumberFormat="1" applyFont="1" applyFill="1" applyBorder="1" applyAlignment="1">
      <alignment vertical="center"/>
    </xf>
    <xf numFmtId="0" fontId="156" fillId="0" borderId="35" xfId="0" applyFont="1" applyBorder="1" applyAlignment="1">
      <alignment/>
    </xf>
    <xf numFmtId="3" fontId="37" fillId="0" borderId="26" xfId="0" applyNumberFormat="1" applyFont="1" applyBorder="1" applyAlignment="1">
      <alignment vertical="center"/>
    </xf>
    <xf numFmtId="3" fontId="35" fillId="32" borderId="44" xfId="0" applyNumberFormat="1" applyFont="1" applyFill="1" applyBorder="1" applyAlignment="1">
      <alignment vertical="center"/>
    </xf>
    <xf numFmtId="3" fontId="35" fillId="0" borderId="44" xfId="0" applyNumberFormat="1" applyFont="1" applyBorder="1" applyAlignment="1">
      <alignment vertical="center"/>
    </xf>
    <xf numFmtId="3" fontId="35" fillId="32" borderId="33" xfId="0" applyNumberFormat="1" applyFont="1" applyFill="1" applyBorder="1" applyAlignment="1">
      <alignment vertical="center"/>
    </xf>
    <xf numFmtId="3" fontId="35" fillId="0" borderId="43" xfId="0" applyNumberFormat="1" applyFont="1" applyFill="1" applyBorder="1" applyAlignment="1">
      <alignment vertical="center"/>
    </xf>
    <xf numFmtId="3" fontId="35" fillId="32" borderId="61" xfId="0" applyNumberFormat="1" applyFont="1" applyFill="1" applyBorder="1" applyAlignment="1">
      <alignment vertical="center"/>
    </xf>
    <xf numFmtId="0" fontId="156" fillId="0" borderId="7" xfId="0" applyFont="1" applyBorder="1" applyAlignment="1">
      <alignment horizontal="right"/>
    </xf>
    <xf numFmtId="3" fontId="35" fillId="0" borderId="44" xfId="0" applyNumberFormat="1" applyFont="1" applyBorder="1" applyAlignment="1">
      <alignment horizontal="right" vertical="center"/>
    </xf>
    <xf numFmtId="3" fontId="35" fillId="0" borderId="52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3" fontId="37" fillId="0" borderId="15" xfId="0" applyNumberFormat="1" applyFont="1" applyBorder="1" applyAlignment="1">
      <alignment horizontal="center" vertical="center"/>
    </xf>
    <xf numFmtId="3" fontId="35" fillId="32" borderId="31" xfId="0" applyNumberFormat="1" applyFont="1" applyFill="1" applyBorder="1" applyAlignment="1">
      <alignment vertical="center"/>
    </xf>
    <xf numFmtId="3" fontId="37" fillId="0" borderId="32" xfId="0" applyNumberFormat="1" applyFont="1" applyBorder="1" applyAlignment="1">
      <alignment vertical="center"/>
    </xf>
    <xf numFmtId="3" fontId="37" fillId="0" borderId="60" xfId="0" applyNumberFormat="1" applyFont="1" applyBorder="1" applyAlignment="1">
      <alignment horizontal="right" vertical="center"/>
    </xf>
    <xf numFmtId="3" fontId="37" fillId="0" borderId="32" xfId="0" applyNumberFormat="1" applyFont="1" applyBorder="1" applyAlignment="1">
      <alignment horizontal="right" vertical="center"/>
    </xf>
    <xf numFmtId="3" fontId="37" fillId="0" borderId="44" xfId="0" applyNumberFormat="1" applyFont="1" applyBorder="1" applyAlignment="1">
      <alignment horizontal="right" vertical="center"/>
    </xf>
    <xf numFmtId="3" fontId="35" fillId="32" borderId="35" xfId="0" applyNumberFormat="1" applyFont="1" applyFill="1" applyBorder="1" applyAlignment="1">
      <alignment horizontal="right" vertical="center"/>
    </xf>
    <xf numFmtId="3" fontId="35" fillId="32" borderId="44" xfId="0" applyNumberFormat="1" applyFont="1" applyFill="1" applyBorder="1" applyAlignment="1">
      <alignment horizontal="right" vertical="center"/>
    </xf>
    <xf numFmtId="3" fontId="35" fillId="38" borderId="7" xfId="0" applyNumberFormat="1" applyFont="1" applyFill="1" applyBorder="1" applyAlignment="1">
      <alignment vertical="center"/>
    </xf>
    <xf numFmtId="3" fontId="35" fillId="0" borderId="33" xfId="0" applyNumberFormat="1" applyFont="1" applyBorder="1" applyAlignment="1">
      <alignment horizontal="right" vertical="center"/>
    </xf>
    <xf numFmtId="3" fontId="35" fillId="38" borderId="35" xfId="0" applyNumberFormat="1" applyFont="1" applyFill="1" applyBorder="1" applyAlignment="1">
      <alignment vertical="center"/>
    </xf>
    <xf numFmtId="3" fontId="35" fillId="38" borderId="35" xfId="0" applyNumberFormat="1" applyFont="1" applyFill="1" applyBorder="1" applyAlignment="1">
      <alignment horizontal="right" vertical="center"/>
    </xf>
    <xf numFmtId="3" fontId="35" fillId="32" borderId="17" xfId="0" applyNumberFormat="1" applyFont="1" applyFill="1" applyBorder="1" applyAlignment="1">
      <alignment vertical="center"/>
    </xf>
    <xf numFmtId="0" fontId="167" fillId="0" borderId="7" xfId="0" applyFont="1" applyBorder="1" applyAlignment="1">
      <alignment/>
    </xf>
    <xf numFmtId="0" fontId="152" fillId="0" borderId="7" xfId="0" applyFont="1" applyBorder="1" applyAlignment="1">
      <alignment/>
    </xf>
    <xf numFmtId="0" fontId="152" fillId="0" borderId="35" xfId="0" applyFont="1" applyBorder="1" applyAlignment="1">
      <alignment/>
    </xf>
    <xf numFmtId="174" fontId="35" fillId="0" borderId="35" xfId="0" applyNumberFormat="1" applyFont="1" applyBorder="1" applyAlignment="1">
      <alignment vertical="center"/>
    </xf>
    <xf numFmtId="174" fontId="35" fillId="0" borderId="47" xfId="0" applyNumberFormat="1" applyFont="1" applyBorder="1" applyAlignment="1">
      <alignment vertical="center"/>
    </xf>
    <xf numFmtId="174" fontId="35" fillId="0" borderId="23" xfId="0" applyNumberFormat="1" applyFont="1" applyFill="1" applyBorder="1" applyAlignment="1">
      <alignment horizontal="right" vertical="center"/>
    </xf>
    <xf numFmtId="3" fontId="35" fillId="0" borderId="11" xfId="0" applyNumberFormat="1" applyFont="1" applyFill="1" applyBorder="1" applyAlignment="1">
      <alignment horizontal="right" vertical="center"/>
    </xf>
    <xf numFmtId="3" fontId="35" fillId="0" borderId="17" xfId="0" applyNumberFormat="1" applyFont="1" applyFill="1" applyBorder="1" applyAlignment="1">
      <alignment horizontal="right" vertical="center"/>
    </xf>
    <xf numFmtId="3" fontId="35" fillId="0" borderId="29" xfId="0" applyNumberFormat="1" applyFont="1" applyFill="1" applyBorder="1" applyAlignment="1">
      <alignment horizontal="right" vertical="center"/>
    </xf>
    <xf numFmtId="167" fontId="29" fillId="0" borderId="0" xfId="42" applyNumberFormat="1" applyFont="1" applyFill="1" applyAlignment="1">
      <alignment/>
    </xf>
    <xf numFmtId="167" fontId="29" fillId="0" borderId="0" xfId="53" applyNumberFormat="1" applyFont="1" applyAlignment="1">
      <alignment/>
    </xf>
    <xf numFmtId="167" fontId="173" fillId="38" borderId="7" xfId="42" applyNumberFormat="1" applyFont="1" applyFill="1" applyBorder="1" applyAlignment="1">
      <alignment/>
    </xf>
    <xf numFmtId="169" fontId="46" fillId="0" borderId="20" xfId="0" applyNumberFormat="1" applyFont="1" applyBorder="1" applyAlignment="1">
      <alignment horizontal="center"/>
    </xf>
    <xf numFmtId="0" fontId="46" fillId="0" borderId="17" xfId="0" applyFont="1" applyBorder="1" applyAlignment="1">
      <alignment horizontal="left" indent="29"/>
    </xf>
    <xf numFmtId="0" fontId="45" fillId="0" borderId="35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156" fillId="33" borderId="7" xfId="0" applyFont="1" applyFill="1" applyBorder="1" applyAlignment="1">
      <alignment horizontal="left" vertical="center" wrapText="1"/>
    </xf>
    <xf numFmtId="0" fontId="163" fillId="16" borderId="17" xfId="0" applyFont="1" applyFill="1" applyBorder="1" applyAlignment="1">
      <alignment horizontal="center" vertical="center"/>
    </xf>
    <xf numFmtId="0" fontId="153" fillId="16" borderId="17" xfId="0" applyFont="1" applyFill="1" applyBorder="1" applyAlignment="1">
      <alignment horizontal="center" vertical="center"/>
    </xf>
    <xf numFmtId="0" fontId="37" fillId="37" borderId="7" xfId="0" applyFont="1" applyFill="1" applyBorder="1" applyAlignment="1">
      <alignment horizontal="right" vertical="center"/>
    </xf>
    <xf numFmtId="167" fontId="43" fillId="0" borderId="7" xfId="0" applyNumberFormat="1" applyFont="1" applyFill="1" applyBorder="1" applyAlignment="1">
      <alignment/>
    </xf>
    <xf numFmtId="167" fontId="43" fillId="0" borderId="33" xfId="0" applyNumberFormat="1" applyFont="1" applyFill="1" applyBorder="1" applyAlignment="1">
      <alignment/>
    </xf>
    <xf numFmtId="0" fontId="156" fillId="0" borderId="0" xfId="0" applyFont="1" applyFill="1" applyBorder="1" applyAlignment="1">
      <alignment horizontal="left" vertical="center" wrapText="1"/>
    </xf>
    <xf numFmtId="170" fontId="157" fillId="0" borderId="0" xfId="0" applyNumberFormat="1" applyFont="1" applyFill="1" applyBorder="1" applyAlignment="1">
      <alignment horizontal="right" vertical="center" wrapText="1"/>
    </xf>
    <xf numFmtId="167" fontId="43" fillId="0" borderId="0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 horizontal="right" vertical="center"/>
    </xf>
    <xf numFmtId="170" fontId="157" fillId="10" borderId="7" xfId="0" applyNumberFormat="1" applyFont="1" applyFill="1" applyBorder="1" applyAlignment="1">
      <alignment horizontal="right" vertical="center" wrapText="1"/>
    </xf>
    <xf numFmtId="167" fontId="57" fillId="0" borderId="7" xfId="42" applyNumberFormat="1" applyFont="1" applyFill="1" applyBorder="1" applyAlignment="1">
      <alignment/>
    </xf>
    <xf numFmtId="0" fontId="37" fillId="10" borderId="7" xfId="0" applyFont="1" applyFill="1" applyBorder="1" applyAlignment="1">
      <alignment horizontal="right" vertical="center"/>
    </xf>
    <xf numFmtId="167" fontId="37" fillId="0" borderId="0" xfId="64" applyNumberFormat="1" applyFont="1" applyFill="1" applyBorder="1" applyAlignment="1">
      <alignment/>
    </xf>
    <xf numFmtId="0" fontId="156" fillId="5" borderId="7" xfId="0" applyFont="1" applyFill="1" applyBorder="1" applyAlignment="1">
      <alignment horizontal="left" vertical="center" wrapText="1"/>
    </xf>
    <xf numFmtId="170" fontId="157" fillId="39" borderId="7" xfId="0" applyNumberFormat="1" applyFont="1" applyFill="1" applyBorder="1" applyAlignment="1">
      <alignment horizontal="right" vertical="center" wrapText="1"/>
    </xf>
    <xf numFmtId="0" fontId="156" fillId="39" borderId="7" xfId="0" applyFont="1" applyFill="1" applyBorder="1" applyAlignment="1">
      <alignment horizontal="left" vertical="center" wrapText="1"/>
    </xf>
    <xf numFmtId="0" fontId="37" fillId="39" borderId="7" xfId="0" applyFont="1" applyFill="1" applyBorder="1" applyAlignment="1">
      <alignment horizontal="right" vertical="center"/>
    </xf>
    <xf numFmtId="167" fontId="57" fillId="0" borderId="46" xfId="42" applyNumberFormat="1" applyFont="1" applyFill="1" applyBorder="1" applyAlignment="1">
      <alignment/>
    </xf>
    <xf numFmtId="167" fontId="57" fillId="0" borderId="40" xfId="42" applyNumberFormat="1" applyFont="1" applyFill="1" applyBorder="1" applyAlignment="1">
      <alignment/>
    </xf>
    <xf numFmtId="167" fontId="57" fillId="0" borderId="39" xfId="42" applyNumberFormat="1" applyFont="1" applyFill="1" applyBorder="1" applyAlignment="1">
      <alignment/>
    </xf>
    <xf numFmtId="167" fontId="35" fillId="0" borderId="22" xfId="0" applyNumberFormat="1" applyFont="1" applyFill="1" applyBorder="1" applyAlignment="1">
      <alignment/>
    </xf>
    <xf numFmtId="0" fontId="37" fillId="0" borderId="7" xfId="0" applyFont="1" applyFill="1" applyBorder="1" applyAlignment="1">
      <alignment horizontal="right" vertical="center"/>
    </xf>
    <xf numFmtId="167" fontId="35" fillId="0" borderId="35" xfId="0" applyNumberFormat="1" applyFont="1" applyFill="1" applyBorder="1" applyAlignment="1">
      <alignment/>
    </xf>
    <xf numFmtId="0" fontId="10" fillId="0" borderId="62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" fontId="163" fillId="33" borderId="43" xfId="0" applyNumberFormat="1" applyFont="1" applyFill="1" applyBorder="1" applyAlignment="1">
      <alignment horizontal="right" vertical="center"/>
    </xf>
    <xf numFmtId="37" fontId="163" fillId="40" borderId="43" xfId="0" applyNumberFormat="1" applyFont="1" applyFill="1" applyBorder="1" applyAlignment="1">
      <alignment horizontal="right" vertical="center"/>
    </xf>
    <xf numFmtId="3" fontId="163" fillId="0" borderId="0" xfId="0" applyNumberFormat="1" applyFont="1" applyFill="1" applyBorder="1" applyAlignment="1">
      <alignment horizontal="right" vertical="center"/>
    </xf>
    <xf numFmtId="37" fontId="163" fillId="0" borderId="0" xfId="0" applyNumberFormat="1" applyFont="1" applyFill="1" applyBorder="1" applyAlignment="1">
      <alignment horizontal="right" vertical="center"/>
    </xf>
    <xf numFmtId="167" fontId="155" fillId="38" borderId="7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7" fillId="0" borderId="0" xfId="0" applyFont="1" applyFill="1" applyAlignment="1">
      <alignment/>
    </xf>
    <xf numFmtId="164" fontId="4" fillId="0" borderId="7" xfId="86" applyFont="1" applyFill="1" applyBorder="1" applyAlignment="1">
      <alignment/>
      <protection/>
    </xf>
    <xf numFmtId="0" fontId="161" fillId="0" borderId="35" xfId="0" applyFont="1" applyFill="1" applyBorder="1" applyAlignment="1">
      <alignment horizontal="right" vertical="center"/>
    </xf>
    <xf numFmtId="167" fontId="157" fillId="33" borderId="43" xfId="0" applyNumberFormat="1" applyFont="1" applyFill="1" applyBorder="1" applyAlignment="1">
      <alignment/>
    </xf>
    <xf numFmtId="167" fontId="161" fillId="0" borderId="0" xfId="0" applyNumberFormat="1" applyFont="1" applyFill="1" applyBorder="1" applyAlignment="1">
      <alignment/>
    </xf>
    <xf numFmtId="167" fontId="156" fillId="0" borderId="0" xfId="0" applyNumberFormat="1" applyFont="1" applyAlignment="1">
      <alignment/>
    </xf>
    <xf numFmtId="0" fontId="0" fillId="0" borderId="44" xfId="0" applyBorder="1" applyAlignment="1">
      <alignment/>
    </xf>
    <xf numFmtId="0" fontId="151" fillId="0" borderId="43" xfId="0" applyFont="1" applyBorder="1" applyAlignment="1">
      <alignment vertical="center"/>
    </xf>
    <xf numFmtId="0" fontId="9" fillId="0" borderId="33" xfId="0" applyFont="1" applyFill="1" applyBorder="1" applyAlignment="1">
      <alignment/>
    </xf>
    <xf numFmtId="0" fontId="17" fillId="0" borderId="33" xfId="0" applyFont="1" applyFill="1" applyBorder="1" applyAlignment="1">
      <alignment vertical="center"/>
    </xf>
    <xf numFmtId="167" fontId="36" fillId="0" borderId="7" xfId="0" applyNumberFormat="1" applyFont="1" applyFill="1" applyBorder="1" applyAlignment="1">
      <alignment/>
    </xf>
    <xf numFmtId="2" fontId="161" fillId="0" borderId="7" xfId="0" applyNumberFormat="1" applyFont="1" applyBorder="1" applyAlignment="1">
      <alignment horizontal="center"/>
    </xf>
    <xf numFmtId="0" fontId="43" fillId="0" borderId="24" xfId="0" applyFont="1" applyFill="1" applyBorder="1" applyAlignment="1">
      <alignment horizontal="center"/>
    </xf>
    <xf numFmtId="0" fontId="29" fillId="0" borderId="35" xfId="0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1" fontId="158" fillId="0" borderId="7" xfId="0" applyNumberFormat="1" applyFont="1" applyBorder="1" applyAlignment="1">
      <alignment/>
    </xf>
    <xf numFmtId="1" fontId="28" fillId="0" borderId="7" xfId="0" applyNumberFormat="1" applyFont="1" applyBorder="1" applyAlignment="1">
      <alignment/>
    </xf>
    <xf numFmtId="0" fontId="158" fillId="0" borderId="7" xfId="0" applyFont="1" applyBorder="1" applyAlignment="1">
      <alignment/>
    </xf>
    <xf numFmtId="0" fontId="28" fillId="0" borderId="7" xfId="0" applyFont="1" applyBorder="1" applyAlignment="1">
      <alignment/>
    </xf>
    <xf numFmtId="0" fontId="43" fillId="0" borderId="19" xfId="0" applyFont="1" applyFill="1" applyBorder="1" applyAlignment="1">
      <alignment horizontal="center"/>
    </xf>
    <xf numFmtId="1" fontId="144" fillId="0" borderId="7" xfId="0" applyNumberFormat="1" applyFont="1" applyBorder="1" applyAlignment="1">
      <alignment/>
    </xf>
    <xf numFmtId="0" fontId="6" fillId="0" borderId="7" xfId="0" applyFont="1" applyFill="1" applyBorder="1" applyAlignment="1">
      <alignment horizontal="center" vertical="center" wrapText="1"/>
    </xf>
    <xf numFmtId="0" fontId="145" fillId="0" borderId="7" xfId="0" applyFont="1" applyBorder="1" applyAlignment="1">
      <alignment horizontal="center"/>
    </xf>
    <xf numFmtId="0" fontId="174" fillId="0" borderId="0" xfId="0" applyFont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37" fontId="155" fillId="0" borderId="7" xfId="0" applyNumberFormat="1" applyFont="1" applyFill="1" applyBorder="1" applyAlignment="1">
      <alignment/>
    </xf>
    <xf numFmtId="3" fontId="48" fillId="0" borderId="0" xfId="0" applyNumberFormat="1" applyFont="1" applyAlignment="1">
      <alignment textRotation="90"/>
    </xf>
    <xf numFmtId="3" fontId="34" fillId="0" borderId="7" xfId="0" applyNumberFormat="1" applyFont="1" applyFill="1" applyBorder="1" applyAlignment="1">
      <alignment/>
    </xf>
    <xf numFmtId="3" fontId="23" fillId="0" borderId="7" xfId="0" applyNumberFormat="1" applyFont="1" applyFill="1" applyBorder="1" applyAlignment="1">
      <alignment horizontal="right" vertical="center"/>
    </xf>
    <xf numFmtId="3" fontId="34" fillId="0" borderId="25" xfId="0" applyNumberFormat="1" applyFont="1" applyBorder="1" applyAlignment="1">
      <alignment/>
    </xf>
    <xf numFmtId="0" fontId="144" fillId="0" borderId="0" xfId="0" applyFont="1" applyAlignment="1">
      <alignment/>
    </xf>
    <xf numFmtId="3" fontId="48" fillId="0" borderId="0" xfId="0" applyNumberFormat="1" applyFont="1" applyAlignment="1">
      <alignment/>
    </xf>
    <xf numFmtId="166" fontId="142" fillId="0" borderId="7" xfId="0" applyNumberFormat="1" applyFont="1" applyBorder="1" applyAlignment="1">
      <alignment/>
    </xf>
    <xf numFmtId="166" fontId="152" fillId="0" borderId="7" xfId="0" applyNumberFormat="1" applyFont="1" applyBorder="1" applyAlignment="1">
      <alignment/>
    </xf>
    <xf numFmtId="166" fontId="175" fillId="0" borderId="0" xfId="0" applyNumberFormat="1" applyFont="1" applyAlignment="1">
      <alignment/>
    </xf>
    <xf numFmtId="166" fontId="36" fillId="0" borderId="7" xfId="0" applyNumberFormat="1" applyFont="1" applyFill="1" applyBorder="1" applyAlignment="1">
      <alignment/>
    </xf>
    <xf numFmtId="166" fontId="36" fillId="0" borderId="7" xfId="0" applyNumberFormat="1" applyFont="1" applyFill="1" applyBorder="1" applyAlignment="1">
      <alignment horizontal="right"/>
    </xf>
    <xf numFmtId="166" fontId="36" fillId="0" borderId="7" xfId="58" applyNumberFormat="1" applyFont="1" applyFill="1" applyBorder="1" applyAlignment="1">
      <alignment/>
    </xf>
    <xf numFmtId="167" fontId="53" fillId="0" borderId="0" xfId="0" applyNumberFormat="1" applyFont="1" applyFill="1" applyBorder="1" applyAlignment="1">
      <alignment textRotation="90"/>
    </xf>
    <xf numFmtId="167" fontId="144" fillId="0" borderId="7" xfId="0" applyNumberFormat="1" applyFont="1" applyBorder="1" applyAlignment="1">
      <alignment/>
    </xf>
    <xf numFmtId="0" fontId="176" fillId="0" borderId="0" xfId="0" applyFont="1" applyAlignment="1">
      <alignment/>
    </xf>
    <xf numFmtId="3" fontId="144" fillId="0" borderId="0" xfId="0" applyNumberFormat="1" applyFont="1" applyAlignment="1">
      <alignment/>
    </xf>
    <xf numFmtId="167" fontId="156" fillId="38" borderId="35" xfId="42" applyNumberFormat="1" applyFont="1" applyFill="1" applyBorder="1" applyAlignment="1">
      <alignment/>
    </xf>
    <xf numFmtId="0" fontId="144" fillId="0" borderId="7" xfId="0" applyFont="1" applyFill="1" applyBorder="1" applyAlignment="1">
      <alignment/>
    </xf>
    <xf numFmtId="0" fontId="144" fillId="0" borderId="7" xfId="0" applyFont="1" applyFill="1" applyBorder="1" applyAlignment="1">
      <alignment horizontal="center"/>
    </xf>
    <xf numFmtId="169" fontId="144" fillId="0" borderId="7" xfId="0" applyNumberFormat="1" applyFont="1" applyFill="1" applyBorder="1" applyAlignment="1">
      <alignment/>
    </xf>
    <xf numFmtId="0" fontId="177" fillId="0" borderId="0" xfId="0" applyFont="1" applyAlignment="1">
      <alignment/>
    </xf>
    <xf numFmtId="0" fontId="35" fillId="0" borderId="29" xfId="0" applyFont="1" applyBorder="1" applyAlignment="1">
      <alignment vertical="center"/>
    </xf>
    <xf numFmtId="3" fontId="35" fillId="0" borderId="50" xfId="0" applyNumberFormat="1" applyFont="1" applyBorder="1" applyAlignment="1">
      <alignment vertical="center"/>
    </xf>
    <xf numFmtId="3" fontId="35" fillId="0" borderId="36" xfId="0" applyNumberFormat="1" applyFont="1" applyBorder="1" applyAlignment="1">
      <alignment horizontal="right" vertical="center"/>
    </xf>
    <xf numFmtId="174" fontId="35" fillId="0" borderId="33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horizontal="right" vertical="center"/>
    </xf>
    <xf numFmtId="3" fontId="35" fillId="32" borderId="64" xfId="0" applyNumberFormat="1" applyFont="1" applyFill="1" applyBorder="1" applyAlignment="1">
      <alignment vertical="center"/>
    </xf>
    <xf numFmtId="3" fontId="35" fillId="32" borderId="13" xfId="0" applyNumberFormat="1" applyFont="1" applyFill="1" applyBorder="1" applyAlignment="1">
      <alignment vertical="center"/>
    </xf>
    <xf numFmtId="3" fontId="35" fillId="32" borderId="65" xfId="0" applyNumberFormat="1" applyFont="1" applyFill="1" applyBorder="1" applyAlignment="1">
      <alignment vertical="center"/>
    </xf>
    <xf numFmtId="0" fontId="35" fillId="38" borderId="41" xfId="0" applyFont="1" applyFill="1" applyBorder="1" applyAlignment="1">
      <alignment horizontal="center" vertical="center"/>
    </xf>
    <xf numFmtId="0" fontId="152" fillId="0" borderId="51" xfId="0" applyFont="1" applyBorder="1" applyAlignment="1">
      <alignment horizontal="center" vertical="center" wrapText="1"/>
    </xf>
    <xf numFmtId="0" fontId="152" fillId="0" borderId="59" xfId="0" applyFont="1" applyBorder="1" applyAlignment="1">
      <alignment horizontal="center" vertical="center" wrapText="1"/>
    </xf>
    <xf numFmtId="0" fontId="152" fillId="0" borderId="66" xfId="0" applyFont="1" applyBorder="1" applyAlignment="1">
      <alignment horizontal="center" vertical="center" wrapText="1"/>
    </xf>
    <xf numFmtId="3" fontId="35" fillId="0" borderId="54" xfId="0" applyNumberFormat="1" applyFont="1" applyFill="1" applyBorder="1" applyAlignment="1">
      <alignment vertical="center"/>
    </xf>
    <xf numFmtId="3" fontId="35" fillId="0" borderId="15" xfId="0" applyNumberFormat="1" applyFont="1" applyFill="1" applyBorder="1" applyAlignment="1">
      <alignment vertical="center"/>
    </xf>
    <xf numFmtId="3" fontId="35" fillId="0" borderId="32" xfId="0" applyNumberFormat="1" applyFont="1" applyFill="1" applyBorder="1" applyAlignment="1">
      <alignment vertical="center"/>
    </xf>
    <xf numFmtId="3" fontId="35" fillId="0" borderId="23" xfId="0" applyNumberFormat="1" applyFont="1" applyFill="1" applyBorder="1" applyAlignment="1">
      <alignment vertical="center"/>
    </xf>
    <xf numFmtId="3" fontId="35" fillId="0" borderId="7" xfId="0" applyNumberFormat="1" applyFont="1" applyFill="1" applyBorder="1" applyAlignment="1">
      <alignment vertical="center"/>
    </xf>
    <xf numFmtId="3" fontId="35" fillId="0" borderId="11" xfId="0" applyNumberFormat="1" applyFont="1" applyFill="1" applyBorder="1" applyAlignment="1">
      <alignment vertical="center"/>
    </xf>
    <xf numFmtId="3" fontId="35" fillId="0" borderId="33" xfId="0" applyNumberFormat="1" applyFont="1" applyFill="1" applyBorder="1" applyAlignment="1">
      <alignment vertical="center"/>
    </xf>
    <xf numFmtId="3" fontId="35" fillId="32" borderId="11" xfId="0" applyNumberFormat="1" applyFont="1" applyFill="1" applyBorder="1" applyAlignment="1">
      <alignment vertical="center"/>
    </xf>
    <xf numFmtId="3" fontId="35" fillId="32" borderId="52" xfId="0" applyNumberFormat="1" applyFont="1" applyFill="1" applyBorder="1" applyAlignment="1">
      <alignment vertical="center"/>
    </xf>
    <xf numFmtId="3" fontId="35" fillId="32" borderId="57" xfId="0" applyNumberFormat="1" applyFont="1" applyFill="1" applyBorder="1" applyAlignment="1">
      <alignment vertical="center"/>
    </xf>
    <xf numFmtId="3" fontId="35" fillId="32" borderId="28" xfId="0" applyNumberFormat="1" applyFont="1" applyFill="1" applyBorder="1" applyAlignment="1">
      <alignment vertical="center"/>
    </xf>
    <xf numFmtId="0" fontId="152" fillId="0" borderId="49" xfId="0" applyFont="1" applyBorder="1" applyAlignment="1">
      <alignment horizontal="center" vertical="center" wrapText="1"/>
    </xf>
    <xf numFmtId="0" fontId="152" fillId="0" borderId="42" xfId="0" applyFont="1" applyBorder="1" applyAlignment="1">
      <alignment horizontal="center" vertical="center" wrapText="1"/>
    </xf>
    <xf numFmtId="0" fontId="152" fillId="0" borderId="38" xfId="0" applyFont="1" applyBorder="1" applyAlignment="1">
      <alignment horizontal="center" vertical="center" wrapText="1"/>
    </xf>
    <xf numFmtId="3" fontId="35" fillId="0" borderId="47" xfId="0" applyNumberFormat="1" applyFont="1" applyFill="1" applyBorder="1" applyAlignment="1">
      <alignment vertical="center"/>
    </xf>
    <xf numFmtId="3" fontId="35" fillId="0" borderId="35" xfId="0" applyNumberFormat="1" applyFont="1" applyFill="1" applyBorder="1" applyAlignment="1">
      <alignment vertical="center"/>
    </xf>
    <xf numFmtId="3" fontId="35" fillId="0" borderId="63" xfId="0" applyNumberFormat="1" applyFont="1" applyFill="1" applyBorder="1" applyAlignment="1">
      <alignment vertical="center"/>
    </xf>
    <xf numFmtId="3" fontId="35" fillId="32" borderId="63" xfId="0" applyNumberFormat="1" applyFont="1" applyFill="1" applyBorder="1" applyAlignment="1">
      <alignment vertical="center"/>
    </xf>
    <xf numFmtId="0" fontId="152" fillId="0" borderId="67" xfId="0" applyFont="1" applyBorder="1" applyAlignment="1">
      <alignment horizontal="center" vertical="center" wrapText="1"/>
    </xf>
    <xf numFmtId="0" fontId="152" fillId="0" borderId="41" xfId="0" applyFont="1" applyBorder="1" applyAlignment="1">
      <alignment horizontal="center" vertical="center" wrapText="1"/>
    </xf>
    <xf numFmtId="0" fontId="37" fillId="0" borderId="63" xfId="0" applyFont="1" applyBorder="1" applyAlignment="1">
      <alignment vertical="center"/>
    </xf>
    <xf numFmtId="3" fontId="37" fillId="0" borderId="24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horizontal="right" vertical="center"/>
    </xf>
    <xf numFmtId="3" fontId="37" fillId="0" borderId="47" xfId="0" applyNumberFormat="1" applyFont="1" applyBorder="1" applyAlignment="1">
      <alignment horizontal="right" vertical="center"/>
    </xf>
    <xf numFmtId="3" fontId="37" fillId="0" borderId="63" xfId="0" applyNumberFormat="1" applyFont="1" applyBorder="1" applyAlignment="1">
      <alignment vertical="center"/>
    </xf>
    <xf numFmtId="0" fontId="152" fillId="0" borderId="34" xfId="0" applyFont="1" applyBorder="1" applyAlignment="1">
      <alignment vertical="center" wrapText="1"/>
    </xf>
    <xf numFmtId="3" fontId="157" fillId="0" borderId="7" xfId="0" applyNumberFormat="1" applyFont="1" applyFill="1" applyBorder="1" applyAlignment="1">
      <alignment/>
    </xf>
    <xf numFmtId="166" fontId="157" fillId="0" borderId="7" xfId="0" applyNumberFormat="1" applyFont="1" applyFill="1" applyBorder="1" applyAlignment="1">
      <alignment/>
    </xf>
    <xf numFmtId="0" fontId="178" fillId="0" borderId="7" xfId="0" applyFont="1" applyFill="1" applyBorder="1" applyAlignment="1">
      <alignment horizontal="center" vertical="center"/>
    </xf>
    <xf numFmtId="0" fontId="178" fillId="0" borderId="7" xfId="0" applyFont="1" applyFill="1" applyBorder="1" applyAlignment="1">
      <alignment horizontal="left" vertical="center" indent="1"/>
    </xf>
    <xf numFmtId="0" fontId="178" fillId="0" borderId="17" xfId="0" applyFont="1" applyFill="1" applyBorder="1" applyAlignment="1">
      <alignment horizontal="center" vertical="center"/>
    </xf>
    <xf numFmtId="37" fontId="165" fillId="0" borderId="7" xfId="0" applyNumberFormat="1" applyFont="1" applyBorder="1" applyAlignment="1">
      <alignment horizontal="center" vertical="center" textRotation="90"/>
    </xf>
    <xf numFmtId="37" fontId="179" fillId="0" borderId="7" xfId="0" applyNumberFormat="1" applyFont="1" applyBorder="1" applyAlignment="1">
      <alignment horizontal="center" vertical="center" textRotation="90"/>
    </xf>
    <xf numFmtId="0" fontId="17" fillId="0" borderId="33" xfId="0" applyNumberFormat="1" applyFont="1" applyFill="1" applyBorder="1" applyAlignment="1" applyProtection="1">
      <alignment vertical="center"/>
      <protection/>
    </xf>
    <xf numFmtId="167" fontId="22" fillId="0" borderId="7" xfId="42" applyNumberFormat="1" applyFont="1" applyFill="1" applyBorder="1" applyAlignment="1">
      <alignment vertical="center"/>
    </xf>
    <xf numFmtId="167" fontId="35" fillId="0" borderId="7" xfId="42" applyNumberFormat="1" applyFont="1" applyFill="1" applyBorder="1" applyAlignment="1">
      <alignment vertical="center"/>
    </xf>
    <xf numFmtId="167" fontId="4" fillId="0" borderId="7" xfId="83" applyNumberFormat="1" applyFont="1" applyFill="1" applyBorder="1" applyAlignment="1">
      <alignment vertical="center"/>
      <protection/>
    </xf>
    <xf numFmtId="3" fontId="156" fillId="0" borderId="7" xfId="58" applyNumberFormat="1" applyFont="1" applyFill="1" applyBorder="1" applyAlignment="1">
      <alignment horizontal="center" vertical="center"/>
    </xf>
    <xf numFmtId="3" fontId="156" fillId="0" borderId="7" xfId="0" applyNumberFormat="1" applyFont="1" applyFill="1" applyBorder="1" applyAlignment="1">
      <alignment horizontal="center" vertical="center"/>
    </xf>
    <xf numFmtId="3" fontId="156" fillId="0" borderId="7" xfId="0" applyNumberFormat="1" applyFont="1" applyBorder="1" applyAlignment="1">
      <alignment horizontal="center" vertical="center"/>
    </xf>
    <xf numFmtId="3" fontId="37" fillId="0" borderId="7" xfId="0" applyNumberFormat="1" applyFont="1" applyBorder="1" applyAlignment="1">
      <alignment horizontal="center" vertical="center"/>
    </xf>
    <xf numFmtId="3" fontId="144" fillId="0" borderId="7" xfId="0" applyNumberFormat="1" applyFont="1" applyBorder="1" applyAlignment="1">
      <alignment horizontal="center" vertical="center"/>
    </xf>
    <xf numFmtId="3" fontId="37" fillId="0" borderId="7" xfId="58" applyNumberFormat="1" applyFont="1" applyFill="1" applyBorder="1" applyAlignment="1">
      <alignment horizontal="center" vertical="center"/>
    </xf>
    <xf numFmtId="167" fontId="22" fillId="0" borderId="46" xfId="42" applyNumberFormat="1" applyFont="1" applyFill="1" applyBorder="1" applyAlignment="1">
      <alignment/>
    </xf>
    <xf numFmtId="43" fontId="22" fillId="0" borderId="68" xfId="42" applyNumberFormat="1" applyFont="1" applyFill="1" applyBorder="1" applyAlignment="1">
      <alignment horizontal="right"/>
    </xf>
    <xf numFmtId="43" fontId="22" fillId="0" borderId="39" xfId="42" applyNumberFormat="1" applyFont="1" applyFill="1" applyBorder="1" applyAlignment="1">
      <alignment horizontal="right"/>
    </xf>
    <xf numFmtId="43" fontId="22" fillId="0" borderId="46" xfId="42" applyNumberFormat="1" applyFont="1" applyFill="1" applyBorder="1" applyAlignment="1">
      <alignment horizontal="right"/>
    </xf>
    <xf numFmtId="43" fontId="22" fillId="0" borderId="40" xfId="42" applyNumberFormat="1" applyFont="1" applyFill="1" applyBorder="1" applyAlignment="1">
      <alignment horizontal="right"/>
    </xf>
    <xf numFmtId="43" fontId="36" fillId="0" borderId="46" xfId="42" applyNumberFormat="1" applyFont="1" applyFill="1" applyBorder="1" applyAlignment="1">
      <alignment horizontal="right"/>
    </xf>
    <xf numFmtId="166" fontId="45" fillId="8" borderId="7" xfId="0" applyNumberFormat="1" applyFont="1" applyFill="1" applyBorder="1" applyAlignment="1">
      <alignment/>
    </xf>
    <xf numFmtId="0" fontId="34" fillId="0" borderId="7" xfId="0" applyFont="1" applyBorder="1" applyAlignment="1">
      <alignment textRotation="90"/>
    </xf>
    <xf numFmtId="0" fontId="156" fillId="0" borderId="7" xfId="0" applyNumberFormat="1" applyFont="1" applyBorder="1" applyAlignment="1">
      <alignment horizontal="center"/>
    </xf>
    <xf numFmtId="167" fontId="0" fillId="0" borderId="7" xfId="0" applyNumberFormat="1" applyFill="1" applyBorder="1" applyAlignment="1">
      <alignment/>
    </xf>
    <xf numFmtId="0" fontId="153" fillId="16" borderId="29" xfId="0" applyFont="1" applyFill="1" applyBorder="1" applyAlignment="1">
      <alignment horizontal="center" vertical="center"/>
    </xf>
    <xf numFmtId="167" fontId="23" fillId="0" borderId="33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0" fontId="152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3" fontId="35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ill="1" applyAlignment="1">
      <alignment/>
    </xf>
    <xf numFmtId="3" fontId="37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72" fillId="0" borderId="0" xfId="0" applyFont="1" applyBorder="1" applyAlignment="1">
      <alignment vertical="center"/>
    </xf>
    <xf numFmtId="0" fontId="180" fillId="0" borderId="0" xfId="0" applyFont="1" applyFill="1" applyAlignment="1">
      <alignment/>
    </xf>
    <xf numFmtId="0" fontId="181" fillId="0" borderId="0" xfId="0" applyFont="1" applyFill="1" applyAlignment="1">
      <alignment/>
    </xf>
    <xf numFmtId="173" fontId="17" fillId="0" borderId="7" xfId="0" applyNumberFormat="1" applyFont="1" applyFill="1" applyBorder="1" applyAlignment="1">
      <alignment vertical="center"/>
    </xf>
    <xf numFmtId="0" fontId="17" fillId="0" borderId="7" xfId="87" applyFont="1" applyFill="1" applyBorder="1" applyAlignment="1">
      <alignment horizontal="left" vertical="center"/>
      <protection/>
    </xf>
    <xf numFmtId="0" fontId="17" fillId="0" borderId="7" xfId="0" applyFont="1" applyFill="1" applyBorder="1" applyAlignment="1">
      <alignment vertical="center"/>
    </xf>
    <xf numFmtId="167" fontId="36" fillId="0" borderId="23" xfId="0" applyNumberFormat="1" applyFont="1" applyFill="1" applyBorder="1" applyAlignment="1">
      <alignment vertical="center"/>
    </xf>
    <xf numFmtId="167" fontId="35" fillId="0" borderId="7" xfId="42" applyNumberFormat="1" applyFont="1" applyFill="1" applyBorder="1" applyAlignment="1">
      <alignment/>
    </xf>
    <xf numFmtId="43" fontId="154" fillId="25" borderId="60" xfId="42" applyFont="1" applyFill="1" applyBorder="1" applyAlignment="1">
      <alignment horizontal="right"/>
    </xf>
    <xf numFmtId="43" fontId="154" fillId="25" borderId="69" xfId="42" applyFont="1" applyFill="1" applyBorder="1" applyAlignment="1">
      <alignment horizontal="right"/>
    </xf>
    <xf numFmtId="167" fontId="154" fillId="25" borderId="69" xfId="42" applyNumberFormat="1" applyFont="1" applyFill="1" applyBorder="1" applyAlignment="1">
      <alignment horizontal="right"/>
    </xf>
    <xf numFmtId="43" fontId="154" fillId="25" borderId="27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154" fillId="0" borderId="70" xfId="0" applyFont="1" applyFill="1" applyBorder="1" applyAlignment="1">
      <alignment horizontal="center"/>
    </xf>
    <xf numFmtId="0" fontId="182" fillId="0" borderId="70" xfId="0" applyFont="1" applyFill="1" applyBorder="1" applyAlignment="1">
      <alignment horizontal="center"/>
    </xf>
    <xf numFmtId="167" fontId="142" fillId="38" borderId="15" xfId="42" applyNumberFormat="1" applyFont="1" applyFill="1" applyBorder="1" applyAlignment="1">
      <alignment/>
    </xf>
    <xf numFmtId="167" fontId="142" fillId="0" borderId="0" xfId="0" applyNumberFormat="1" applyFont="1" applyFill="1" applyAlignment="1">
      <alignment/>
    </xf>
    <xf numFmtId="0" fontId="142" fillId="0" borderId="0" xfId="0" applyFont="1" applyFill="1" applyAlignment="1">
      <alignment/>
    </xf>
    <xf numFmtId="0" fontId="183" fillId="0" borderId="39" xfId="0" applyFont="1" applyFill="1" applyBorder="1" applyAlignment="1">
      <alignment horizontal="center"/>
    </xf>
    <xf numFmtId="0" fontId="166" fillId="0" borderId="39" xfId="0" applyFont="1" applyFill="1" applyBorder="1" applyAlignment="1">
      <alignment horizontal="center"/>
    </xf>
    <xf numFmtId="167" fontId="0" fillId="38" borderId="7" xfId="42" applyNumberFormat="1" applyFont="1" applyFill="1" applyBorder="1" applyAlignment="1">
      <alignment/>
    </xf>
    <xf numFmtId="167" fontId="0" fillId="0" borderId="7" xfId="42" applyNumberFormat="1" applyFont="1" applyFill="1" applyBorder="1" applyAlignment="1">
      <alignment/>
    </xf>
    <xf numFmtId="167" fontId="0" fillId="0" borderId="57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4" fillId="0" borderId="39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182" fillId="0" borderId="39" xfId="0" applyFont="1" applyFill="1" applyBorder="1" applyAlignment="1">
      <alignment horizontal="center"/>
    </xf>
    <xf numFmtId="167" fontId="0" fillId="0" borderId="11" xfId="42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182" fillId="0" borderId="39" xfId="42" applyNumberFormat="1" applyFont="1" applyFill="1" applyBorder="1" applyAlignment="1">
      <alignment horizontal="center"/>
    </xf>
    <xf numFmtId="167" fontId="0" fillId="38" borderId="33" xfId="42" applyNumberFormat="1" applyFont="1" applyFill="1" applyBorder="1" applyAlignment="1">
      <alignment/>
    </xf>
    <xf numFmtId="167" fontId="0" fillId="0" borderId="33" xfId="42" applyNumberFormat="1" applyFont="1" applyFill="1" applyBorder="1" applyAlignment="1">
      <alignment/>
    </xf>
    <xf numFmtId="167" fontId="0" fillId="0" borderId="11" xfId="42" applyNumberFormat="1" applyFont="1" applyFill="1" applyBorder="1" applyAlignment="1">
      <alignment/>
    </xf>
    <xf numFmtId="167" fontId="0" fillId="38" borderId="7" xfId="42" applyNumberFormat="1" applyFont="1" applyFill="1" applyBorder="1" applyAlignment="1">
      <alignment horizontal="right"/>
    </xf>
    <xf numFmtId="167" fontId="0" fillId="0" borderId="7" xfId="42" applyNumberFormat="1" applyFont="1" applyFill="1" applyBorder="1" applyAlignment="1">
      <alignment horizontal="right"/>
    </xf>
    <xf numFmtId="167" fontId="0" fillId="0" borderId="11" xfId="42" applyNumberFormat="1" applyFont="1" applyFill="1" applyBorder="1" applyAlignment="1">
      <alignment horizontal="right"/>
    </xf>
    <xf numFmtId="167" fontId="0" fillId="38" borderId="7" xfId="42" applyNumberFormat="1" applyFont="1" applyFill="1" applyBorder="1" applyAlignment="1">
      <alignment/>
    </xf>
    <xf numFmtId="167" fontId="0" fillId="0" borderId="7" xfId="42" applyNumberFormat="1" applyFont="1" applyFill="1" applyBorder="1" applyAlignment="1">
      <alignment/>
    </xf>
    <xf numFmtId="0" fontId="154" fillId="38" borderId="39" xfId="0" applyFont="1" applyFill="1" applyBorder="1" applyAlignment="1">
      <alignment horizontal="center"/>
    </xf>
    <xf numFmtId="0" fontId="33" fillId="38" borderId="39" xfId="0" applyFont="1" applyFill="1" applyBorder="1" applyAlignment="1">
      <alignment horizontal="center" vertical="center" wrapText="1"/>
    </xf>
    <xf numFmtId="167" fontId="142" fillId="38" borderId="7" xfId="42" applyNumberFormat="1" applyFont="1" applyFill="1" applyBorder="1" applyAlignment="1">
      <alignment/>
    </xf>
    <xf numFmtId="167" fontId="142" fillId="38" borderId="11" xfId="42" applyNumberFormat="1" applyFont="1" applyFill="1" applyBorder="1" applyAlignment="1">
      <alignment/>
    </xf>
    <xf numFmtId="167" fontId="0" fillId="38" borderId="0" xfId="0" applyNumberFormat="1" applyFill="1" applyAlignment="1">
      <alignment/>
    </xf>
    <xf numFmtId="176" fontId="0" fillId="38" borderId="0" xfId="0" applyNumberFormat="1" applyFill="1" applyAlignment="1">
      <alignment/>
    </xf>
    <xf numFmtId="0" fontId="142" fillId="38" borderId="0" xfId="0" applyFont="1" applyFill="1" applyAlignment="1">
      <alignment/>
    </xf>
    <xf numFmtId="0" fontId="154" fillId="0" borderId="39" xfId="0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 vertical="center" wrapText="1"/>
    </xf>
    <xf numFmtId="167" fontId="142" fillId="0" borderId="7" xfId="42" applyNumberFormat="1" applyFont="1" applyFill="1" applyBorder="1" applyAlignment="1">
      <alignment/>
    </xf>
    <xf numFmtId="167" fontId="142" fillId="0" borderId="11" xfId="42" applyNumberFormat="1" applyFont="1" applyFill="1" applyBorder="1" applyAlignment="1">
      <alignment/>
    </xf>
    <xf numFmtId="0" fontId="13" fillId="0" borderId="16" xfId="0" applyFont="1" applyFill="1" applyBorder="1" applyAlignment="1">
      <alignment horizontal="right" vertical="center" wrapText="1"/>
    </xf>
    <xf numFmtId="10" fontId="142" fillId="0" borderId="7" xfId="90" applyNumberFormat="1" applyFont="1" applyFill="1" applyBorder="1" applyAlignment="1">
      <alignment/>
    </xf>
    <xf numFmtId="10" fontId="142" fillId="0" borderId="11" xfId="90" applyNumberFormat="1" applyFont="1" applyFill="1" applyBorder="1" applyAlignment="1">
      <alignment/>
    </xf>
    <xf numFmtId="10" fontId="0" fillId="0" borderId="7" xfId="90" applyNumberFormat="1" applyFont="1" applyFill="1" applyBorder="1" applyAlignment="1">
      <alignment/>
    </xf>
    <xf numFmtId="10" fontId="0" fillId="0" borderId="11" xfId="90" applyNumberFormat="1" applyFont="1" applyFill="1" applyBorder="1" applyAlignment="1">
      <alignment/>
    </xf>
    <xf numFmtId="0" fontId="166" fillId="0" borderId="3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3" fontId="142" fillId="0" borderId="0" xfId="0" applyNumberFormat="1" applyFont="1" applyFill="1" applyAlignment="1">
      <alignment/>
    </xf>
    <xf numFmtId="0" fontId="0" fillId="0" borderId="16" xfId="0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182" fillId="0" borderId="39" xfId="0" applyFont="1" applyFill="1" applyBorder="1" applyAlignment="1">
      <alignment horizontal="center" vertical="center" wrapText="1"/>
    </xf>
    <xf numFmtId="167" fontId="0" fillId="0" borderId="0" xfId="42" applyNumberFormat="1" applyFont="1" applyFill="1" applyAlignment="1">
      <alignment/>
    </xf>
    <xf numFmtId="167" fontId="0" fillId="0" borderId="35" xfId="45" applyNumberFormat="1" applyFont="1" applyFill="1" applyBorder="1" applyAlignment="1">
      <alignment horizontal="center" vertical="center"/>
    </xf>
    <xf numFmtId="167" fontId="0" fillId="0" borderId="33" xfId="42" applyNumberFormat="1" applyFont="1" applyFill="1" applyBorder="1" applyAlignment="1">
      <alignment/>
    </xf>
    <xf numFmtId="167" fontId="0" fillId="38" borderId="33" xfId="42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7" fontId="142" fillId="0" borderId="33" xfId="42" applyNumberFormat="1" applyFont="1" applyFill="1" applyBorder="1" applyAlignment="1">
      <alignment/>
    </xf>
    <xf numFmtId="167" fontId="142" fillId="0" borderId="0" xfId="42" applyNumberFormat="1" applyFont="1" applyFill="1" applyAlignment="1">
      <alignment/>
    </xf>
    <xf numFmtId="0" fontId="33" fillId="19" borderId="39" xfId="0" applyFont="1" applyFill="1" applyBorder="1" applyAlignment="1">
      <alignment horizontal="center" vertical="center" wrapText="1"/>
    </xf>
    <xf numFmtId="167" fontId="142" fillId="19" borderId="7" xfId="42" applyNumberFormat="1" applyFont="1" applyFill="1" applyBorder="1" applyAlignment="1">
      <alignment/>
    </xf>
    <xf numFmtId="167" fontId="142" fillId="19" borderId="11" xfId="42" applyNumberFormat="1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1" xfId="0" applyFont="1" applyFill="1" applyBorder="1" applyAlignment="1">
      <alignment horizontal="left"/>
    </xf>
    <xf numFmtId="0" fontId="182" fillId="19" borderId="39" xfId="0" applyFont="1" applyFill="1" applyBorder="1" applyAlignment="1">
      <alignment horizontal="center"/>
    </xf>
    <xf numFmtId="167" fontId="0" fillId="19" borderId="7" xfId="42" applyNumberFormat="1" applyFont="1" applyFill="1" applyBorder="1" applyAlignment="1">
      <alignment/>
    </xf>
    <xf numFmtId="167" fontId="0" fillId="19" borderId="33" xfId="42" applyNumberFormat="1" applyFont="1" applyFill="1" applyBorder="1" applyAlignment="1">
      <alignment/>
    </xf>
    <xf numFmtId="167" fontId="0" fillId="19" borderId="17" xfId="42" applyNumberFormat="1" applyFont="1" applyFill="1" applyBorder="1" applyAlignment="1">
      <alignment/>
    </xf>
    <xf numFmtId="167" fontId="0" fillId="19" borderId="11" xfId="42" applyNumberFormat="1" applyFont="1" applyFill="1" applyBorder="1" applyAlignment="1">
      <alignment/>
    </xf>
    <xf numFmtId="0" fontId="0" fillId="19" borderId="11" xfId="0" applyFont="1" applyFill="1" applyBorder="1" applyAlignment="1">
      <alignment horizontal="left" vertical="center" wrapText="1"/>
    </xf>
    <xf numFmtId="0" fontId="182" fillId="19" borderId="39" xfId="0" applyFont="1" applyFill="1" applyBorder="1" applyAlignment="1">
      <alignment horizontal="center" vertical="center" wrapText="1"/>
    </xf>
    <xf numFmtId="168" fontId="142" fillId="19" borderId="7" xfId="90" applyNumberFormat="1" applyFont="1" applyFill="1" applyBorder="1" applyAlignment="1">
      <alignment/>
    </xf>
    <xf numFmtId="168" fontId="142" fillId="19" borderId="11" xfId="90" applyNumberFormat="1" applyFont="1" applyFill="1" applyBorder="1" applyAlignment="1">
      <alignment/>
    </xf>
    <xf numFmtId="168" fontId="0" fillId="19" borderId="7" xfId="90" applyNumberFormat="1" applyFont="1" applyFill="1" applyBorder="1" applyAlignment="1">
      <alignment/>
    </xf>
    <xf numFmtId="168" fontId="0" fillId="19" borderId="11" xfId="90" applyNumberFormat="1" applyFont="1" applyFill="1" applyBorder="1" applyAlignment="1">
      <alignment/>
    </xf>
    <xf numFmtId="0" fontId="154" fillId="0" borderId="71" xfId="0" applyFont="1" applyFill="1" applyBorder="1" applyAlignment="1">
      <alignment horizontal="center"/>
    </xf>
    <xf numFmtId="0" fontId="182" fillId="19" borderId="71" xfId="0" applyFont="1" applyFill="1" applyBorder="1" applyAlignment="1">
      <alignment horizontal="center"/>
    </xf>
    <xf numFmtId="167" fontId="142" fillId="19" borderId="12" xfId="42" applyNumberFormat="1" applyFont="1" applyFill="1" applyBorder="1" applyAlignment="1">
      <alignment/>
    </xf>
    <xf numFmtId="167" fontId="142" fillId="19" borderId="13" xfId="42" applyNumberFormat="1" applyFont="1" applyFill="1" applyBorder="1" applyAlignment="1">
      <alignment/>
    </xf>
    <xf numFmtId="0" fontId="154" fillId="0" borderId="72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2" fillId="0" borderId="56" xfId="0" applyFont="1" applyFill="1" applyBorder="1" applyAlignment="1">
      <alignment horizontal="center"/>
    </xf>
    <xf numFmtId="167" fontId="0" fillId="0" borderId="34" xfId="42" applyNumberFormat="1" applyFont="1" applyFill="1" applyBorder="1" applyAlignment="1">
      <alignment/>
    </xf>
    <xf numFmtId="167" fontId="0" fillId="0" borderId="0" xfId="42" applyNumberFormat="1" applyFont="1" applyFill="1" applyBorder="1" applyAlignment="1">
      <alignment/>
    </xf>
    <xf numFmtId="167" fontId="0" fillId="0" borderId="28" xfId="42" applyNumberFormat="1" applyFont="1" applyFill="1" applyBorder="1" applyAlignment="1">
      <alignment/>
    </xf>
    <xf numFmtId="0" fontId="154" fillId="0" borderId="18" xfId="0" applyFont="1" applyFill="1" applyBorder="1" applyAlignment="1">
      <alignment horizontal="center"/>
    </xf>
    <xf numFmtId="167" fontId="0" fillId="0" borderId="15" xfId="42" applyNumberFormat="1" applyFont="1" applyFill="1" applyBorder="1" applyAlignment="1">
      <alignment/>
    </xf>
    <xf numFmtId="167" fontId="142" fillId="0" borderId="32" xfId="42" applyNumberFormat="1" applyFont="1" applyFill="1" applyBorder="1" applyAlignment="1">
      <alignment/>
    </xf>
    <xf numFmtId="0" fontId="154" fillId="0" borderId="16" xfId="0" applyFont="1" applyFill="1" applyBorder="1" applyAlignment="1">
      <alignment horizontal="center"/>
    </xf>
    <xf numFmtId="9" fontId="182" fillId="0" borderId="39" xfId="90" applyFont="1" applyFill="1" applyBorder="1" applyAlignment="1">
      <alignment horizontal="center"/>
    </xf>
    <xf numFmtId="167" fontId="46" fillId="0" borderId="7" xfId="42" applyNumberFormat="1" applyFont="1" applyFill="1" applyBorder="1" applyAlignment="1">
      <alignment/>
    </xf>
    <xf numFmtId="167" fontId="45" fillId="0" borderId="11" xfId="42" applyNumberFormat="1" applyFont="1" applyFill="1" applyBorder="1" applyAlignment="1">
      <alignment/>
    </xf>
    <xf numFmtId="167" fontId="46" fillId="38" borderId="7" xfId="42" applyNumberFormat="1" applyFont="1" applyFill="1" applyBorder="1" applyAlignment="1">
      <alignment/>
    </xf>
    <xf numFmtId="167" fontId="46" fillId="19" borderId="7" xfId="42" applyNumberFormat="1" applyFont="1" applyFill="1" applyBorder="1" applyAlignment="1">
      <alignment/>
    </xf>
    <xf numFmtId="167" fontId="45" fillId="19" borderId="11" xfId="42" applyNumberFormat="1" applyFont="1" applyFill="1" applyBorder="1" applyAlignment="1">
      <alignment/>
    </xf>
    <xf numFmtId="0" fontId="154" fillId="0" borderId="19" xfId="0" applyFont="1" applyFill="1" applyBorder="1" applyAlignment="1">
      <alignment horizontal="center"/>
    </xf>
    <xf numFmtId="166" fontId="46" fillId="19" borderId="12" xfId="42" applyNumberFormat="1" applyFont="1" applyFill="1" applyBorder="1" applyAlignment="1">
      <alignment/>
    </xf>
    <xf numFmtId="167" fontId="46" fillId="19" borderId="12" xfId="42" applyNumberFormat="1" applyFont="1" applyFill="1" applyBorder="1" applyAlignment="1">
      <alignment/>
    </xf>
    <xf numFmtId="167" fontId="45" fillId="19" borderId="13" xfId="42" applyNumberFormat="1" applyFont="1" applyFill="1" applyBorder="1" applyAlignment="1">
      <alignment/>
    </xf>
    <xf numFmtId="0" fontId="154" fillId="0" borderId="0" xfId="0" applyFont="1" applyFill="1" applyAlignment="1">
      <alignment horizontal="center"/>
    </xf>
    <xf numFmtId="0" fontId="182" fillId="0" borderId="0" xfId="0" applyFont="1" applyFill="1" applyAlignment="1">
      <alignment/>
    </xf>
    <xf numFmtId="167" fontId="182" fillId="0" borderId="0" xfId="0" applyNumberFormat="1" applyFont="1" applyFill="1" applyAlignment="1">
      <alignment/>
    </xf>
    <xf numFmtId="3" fontId="46" fillId="0" borderId="21" xfId="0" applyNumberFormat="1" applyFont="1" applyFill="1" applyBorder="1" applyAlignment="1">
      <alignment/>
    </xf>
    <xf numFmtId="3" fontId="45" fillId="0" borderId="32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3" fontId="46" fillId="0" borderId="13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/>
    </xf>
    <xf numFmtId="3" fontId="59" fillId="0" borderId="11" xfId="0" applyNumberFormat="1" applyFont="1" applyFill="1" applyBorder="1" applyAlignment="1">
      <alignment horizontal="right"/>
    </xf>
    <xf numFmtId="3" fontId="45" fillId="0" borderId="63" xfId="0" applyNumberFormat="1" applyFont="1" applyFill="1" applyBorder="1" applyAlignment="1">
      <alignment/>
    </xf>
    <xf numFmtId="37" fontId="37" fillId="0" borderId="11" xfId="0" applyNumberFormat="1" applyFont="1" applyFill="1" applyBorder="1" applyAlignment="1">
      <alignment/>
    </xf>
    <xf numFmtId="4" fontId="46" fillId="0" borderId="49" xfId="0" applyNumberFormat="1" applyFont="1" applyFill="1" applyBorder="1" applyAlignment="1">
      <alignment/>
    </xf>
    <xf numFmtId="167" fontId="28" fillId="0" borderId="17" xfId="42" applyNumberFormat="1" applyFont="1" applyFill="1" applyBorder="1" applyAlignment="1">
      <alignment horizontal="center"/>
    </xf>
    <xf numFmtId="167" fontId="161" fillId="38" borderId="7" xfId="42" applyNumberFormat="1" applyFont="1" applyFill="1" applyBorder="1" applyAlignment="1">
      <alignment/>
    </xf>
    <xf numFmtId="0" fontId="42" fillId="0" borderId="61" xfId="0" applyFont="1" applyFill="1" applyBorder="1" applyAlignment="1">
      <alignment horizontal="right" vertical="center"/>
    </xf>
    <xf numFmtId="0" fontId="42" fillId="0" borderId="61" xfId="0" applyFont="1" applyFill="1" applyBorder="1" applyAlignment="1">
      <alignment horizontal="right" vertical="center" textRotation="90"/>
    </xf>
    <xf numFmtId="0" fontId="42" fillId="0" borderId="65" xfId="0" applyFont="1" applyFill="1" applyBorder="1" applyAlignment="1">
      <alignment horizontal="right" vertical="center" textRotation="90"/>
    </xf>
    <xf numFmtId="0" fontId="149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7" fontId="41" fillId="0" borderId="0" xfId="42" applyNumberFormat="1" applyFont="1" applyFill="1" applyBorder="1" applyAlignment="1">
      <alignment horizontal="center" vertical="center"/>
    </xf>
    <xf numFmtId="167" fontId="18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78" fillId="0" borderId="22" xfId="0" applyFont="1" applyFill="1" applyBorder="1" applyAlignment="1">
      <alignment horizontal="center" vertical="center" wrapText="1"/>
    </xf>
    <xf numFmtId="0" fontId="178" fillId="0" borderId="73" xfId="0" applyFont="1" applyFill="1" applyBorder="1" applyAlignment="1">
      <alignment horizontal="center" vertical="center" wrapText="1"/>
    </xf>
    <xf numFmtId="0" fontId="178" fillId="0" borderId="74" xfId="0" applyFont="1" applyFill="1" applyBorder="1" applyAlignment="1">
      <alignment horizontal="center" vertical="center"/>
    </xf>
    <xf numFmtId="0" fontId="178" fillId="0" borderId="7" xfId="0" applyFont="1" applyFill="1" applyBorder="1" applyAlignment="1">
      <alignment vertical="center"/>
    </xf>
    <xf numFmtId="0" fontId="185" fillId="0" borderId="7" xfId="0" applyFont="1" applyFill="1" applyBorder="1" applyAlignment="1">
      <alignment horizontal="right" vertical="center" wrapText="1"/>
    </xf>
    <xf numFmtId="0" fontId="178" fillId="0" borderId="7" xfId="0" applyFont="1" applyFill="1" applyBorder="1" applyAlignment="1">
      <alignment horizontal="right" vertical="center"/>
    </xf>
    <xf numFmtId="0" fontId="174" fillId="0" borderId="7" xfId="0" applyFont="1" applyFill="1" applyBorder="1" applyAlignment="1">
      <alignment vertical="center"/>
    </xf>
    <xf numFmtId="0" fontId="178" fillId="0" borderId="72" xfId="0" applyFont="1" applyFill="1" applyBorder="1" applyAlignment="1">
      <alignment horizontal="center" vertical="center"/>
    </xf>
    <xf numFmtId="0" fontId="174" fillId="0" borderId="0" xfId="0" applyFont="1" applyFill="1" applyAlignment="1">
      <alignment/>
    </xf>
    <xf numFmtId="0" fontId="174" fillId="0" borderId="7" xfId="0" applyFont="1" applyFill="1" applyBorder="1" applyAlignment="1">
      <alignment/>
    </xf>
    <xf numFmtId="0" fontId="174" fillId="0" borderId="7" xfId="0" applyFont="1" applyFill="1" applyBorder="1" applyAlignment="1">
      <alignment horizontal="right"/>
    </xf>
    <xf numFmtId="0" fontId="174" fillId="0" borderId="7" xfId="0" applyFont="1" applyFill="1" applyBorder="1" applyAlignment="1">
      <alignment horizontal="left" vertical="center" indent="1"/>
    </xf>
    <xf numFmtId="0" fontId="174" fillId="0" borderId="33" xfId="0" applyFont="1" applyFill="1" applyBorder="1" applyAlignment="1">
      <alignment/>
    </xf>
    <xf numFmtId="0" fontId="174" fillId="0" borderId="17" xfId="0" applyFont="1" applyFill="1" applyBorder="1" applyAlignment="1">
      <alignment/>
    </xf>
    <xf numFmtId="0" fontId="174" fillId="0" borderId="17" xfId="0" applyFont="1" applyFill="1" applyBorder="1" applyAlignment="1">
      <alignment horizontal="right"/>
    </xf>
    <xf numFmtId="0" fontId="178" fillId="0" borderId="38" xfId="0" applyFont="1" applyFill="1" applyBorder="1" applyAlignment="1">
      <alignment horizontal="center" vertical="center" wrapText="1"/>
    </xf>
    <xf numFmtId="0" fontId="178" fillId="0" borderId="65" xfId="0" applyFont="1" applyFill="1" applyBorder="1" applyAlignment="1">
      <alignment horizontal="center" vertical="center"/>
    </xf>
    <xf numFmtId="0" fontId="157" fillId="0" borderId="0" xfId="0" applyFont="1" applyAlignment="1">
      <alignment/>
    </xf>
    <xf numFmtId="0" fontId="154" fillId="0" borderId="75" xfId="0" applyFont="1" applyBorder="1" applyAlignment="1">
      <alignment/>
    </xf>
    <xf numFmtId="0" fontId="154" fillId="0" borderId="37" xfId="0" applyFont="1" applyBorder="1" applyAlignment="1">
      <alignment/>
    </xf>
    <xf numFmtId="0" fontId="154" fillId="0" borderId="38" xfId="0" applyFont="1" applyBorder="1" applyAlignment="1">
      <alignment/>
    </xf>
    <xf numFmtId="0" fontId="59" fillId="0" borderId="37" xfId="0" applyFont="1" applyBorder="1" applyAlignment="1">
      <alignment/>
    </xf>
    <xf numFmtId="0" fontId="59" fillId="0" borderId="38" xfId="0" applyFont="1" applyBorder="1" applyAlignment="1">
      <alignment/>
    </xf>
    <xf numFmtId="1" fontId="21" fillId="0" borderId="0" xfId="0" applyNumberFormat="1" applyFont="1" applyBorder="1" applyAlignment="1">
      <alignment vertical="center"/>
    </xf>
    <xf numFmtId="1" fontId="161" fillId="0" borderId="7" xfId="0" applyNumberFormat="1" applyFont="1" applyBorder="1" applyAlignment="1">
      <alignment/>
    </xf>
    <xf numFmtId="3" fontId="34" fillId="0" borderId="11" xfId="0" applyNumberFormat="1" applyFont="1" applyFill="1" applyBorder="1" applyAlignment="1">
      <alignment/>
    </xf>
    <xf numFmtId="3" fontId="158" fillId="0" borderId="12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156" fillId="0" borderId="12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161" fillId="0" borderId="12" xfId="0" applyNumberFormat="1" applyFont="1" applyFill="1" applyBorder="1" applyAlignment="1">
      <alignment/>
    </xf>
    <xf numFmtId="1" fontId="161" fillId="0" borderId="12" xfId="0" applyNumberFormat="1" applyFont="1" applyBorder="1" applyAlignment="1">
      <alignment/>
    </xf>
    <xf numFmtId="3" fontId="34" fillId="0" borderId="13" xfId="0" applyNumberFormat="1" applyFont="1" applyFill="1" applyBorder="1" applyAlignment="1">
      <alignment/>
    </xf>
    <xf numFmtId="167" fontId="22" fillId="0" borderId="23" xfId="42" applyNumberFormat="1" applyFont="1" applyFill="1" applyBorder="1" applyAlignment="1">
      <alignment/>
    </xf>
    <xf numFmtId="167" fontId="35" fillId="0" borderId="23" xfId="42" applyNumberFormat="1" applyFont="1" applyFill="1" applyBorder="1" applyAlignment="1">
      <alignment/>
    </xf>
    <xf numFmtId="167" fontId="4" fillId="0" borderId="23" xfId="83" applyNumberFormat="1" applyFont="1" applyFill="1" applyBorder="1" applyAlignment="1">
      <alignment vertical="center"/>
      <protection/>
    </xf>
    <xf numFmtId="0" fontId="152" fillId="0" borderId="0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63" fillId="0" borderId="7" xfId="0" applyNumberFormat="1" applyFont="1" applyFill="1" applyBorder="1" applyAlignment="1">
      <alignment/>
    </xf>
    <xf numFmtId="167" fontId="155" fillId="0" borderId="33" xfId="0" applyNumberFormat="1" applyFont="1" applyFill="1" applyBorder="1" applyAlignment="1">
      <alignment/>
    </xf>
    <xf numFmtId="167" fontId="155" fillId="38" borderId="33" xfId="0" applyNumberFormat="1" applyFont="1" applyFill="1" applyBorder="1" applyAlignment="1">
      <alignment/>
    </xf>
    <xf numFmtId="167" fontId="34" fillId="16" borderId="17" xfId="42" applyNumberFormat="1" applyFont="1" applyFill="1" applyBorder="1" applyAlignment="1">
      <alignment horizontal="center" vertical="center"/>
    </xf>
    <xf numFmtId="167" fontId="161" fillId="0" borderId="7" xfId="42" applyNumberFormat="1" applyFont="1" applyFill="1" applyBorder="1" applyAlignment="1">
      <alignment/>
    </xf>
    <xf numFmtId="37" fontId="166" fillId="0" borderId="0" xfId="0" applyNumberFormat="1" applyFont="1" applyAlignment="1">
      <alignment/>
    </xf>
    <xf numFmtId="167" fontId="29" fillId="0" borderId="7" xfId="42" applyNumberFormat="1" applyFont="1" applyFill="1" applyBorder="1" applyAlignment="1">
      <alignment horizontal="center"/>
    </xf>
    <xf numFmtId="43" fontId="144" fillId="0" borderId="0" xfId="0" applyNumberFormat="1" applyFont="1" applyAlignment="1">
      <alignment/>
    </xf>
    <xf numFmtId="0" fontId="144" fillId="38" borderId="0" xfId="0" applyFont="1" applyFill="1" applyAlignment="1">
      <alignment horizontal="center"/>
    </xf>
    <xf numFmtId="167" fontId="163" fillId="0" borderId="7" xfId="0" applyNumberFormat="1" applyFont="1" applyFill="1" applyBorder="1" applyAlignment="1">
      <alignment/>
    </xf>
    <xf numFmtId="167" fontId="163" fillId="0" borderId="7" xfId="42" applyNumberFormat="1" applyFont="1" applyFill="1" applyBorder="1" applyAlignment="1">
      <alignment/>
    </xf>
    <xf numFmtId="3" fontId="163" fillId="41" borderId="7" xfId="0" applyNumberFormat="1" applyFont="1" applyFill="1" applyBorder="1" applyAlignment="1">
      <alignment/>
    </xf>
    <xf numFmtId="167" fontId="31" fillId="0" borderId="7" xfId="42" applyNumberFormat="1" applyFont="1" applyFill="1" applyBorder="1" applyAlignment="1">
      <alignment/>
    </xf>
    <xf numFmtId="167" fontId="31" fillId="0" borderId="7" xfId="0" applyNumberFormat="1" applyFont="1" applyFill="1" applyBorder="1" applyAlignment="1">
      <alignment/>
    </xf>
    <xf numFmtId="167" fontId="163" fillId="38" borderId="7" xfId="42" applyNumberFormat="1" applyFont="1" applyFill="1" applyBorder="1" applyAlignment="1">
      <alignment/>
    </xf>
    <xf numFmtId="2" fontId="46" fillId="0" borderId="24" xfId="0" applyNumberFormat="1" applyFont="1" applyBorder="1" applyAlignment="1">
      <alignment horizontal="center"/>
    </xf>
    <xf numFmtId="0" fontId="46" fillId="0" borderId="35" xfId="0" applyFont="1" applyFill="1" applyBorder="1" applyAlignment="1">
      <alignment horizontal="left" indent="33"/>
    </xf>
    <xf numFmtId="167" fontId="143" fillId="0" borderId="63" xfId="42" applyNumberFormat="1" applyFont="1" applyFill="1" applyBorder="1" applyAlignment="1">
      <alignment/>
    </xf>
    <xf numFmtId="3" fontId="53" fillId="0" borderId="7" xfId="0" applyNumberFormat="1" applyFont="1" applyBorder="1" applyAlignment="1">
      <alignment/>
    </xf>
    <xf numFmtId="3" fontId="57" fillId="0" borderId="11" xfId="0" applyNumberFormat="1" applyFont="1" applyFill="1" applyBorder="1" applyAlignment="1">
      <alignment horizontal="right"/>
    </xf>
    <xf numFmtId="3" fontId="46" fillId="0" borderId="7" xfId="0" applyNumberFormat="1" applyFont="1" applyBorder="1" applyAlignment="1">
      <alignment/>
    </xf>
    <xf numFmtId="0" fontId="156" fillId="0" borderId="7" xfId="0" applyFont="1" applyFill="1" applyBorder="1" applyAlignment="1">
      <alignment horizontal="left" vertical="center"/>
    </xf>
    <xf numFmtId="0" fontId="156" fillId="37" borderId="7" xfId="0" applyFont="1" applyFill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61" fillId="0" borderId="7" xfId="0" applyFont="1" applyBorder="1" applyAlignment="1">
      <alignment/>
    </xf>
    <xf numFmtId="0" fontId="30" fillId="0" borderId="7" xfId="0" applyFont="1" applyBorder="1" applyAlignment="1">
      <alignment horizontal="left"/>
    </xf>
    <xf numFmtId="167" fontId="186" fillId="0" borderId="7" xfId="0" applyNumberFormat="1" applyFont="1" applyBorder="1" applyAlignment="1">
      <alignment horizontal="center" textRotation="90"/>
    </xf>
    <xf numFmtId="3" fontId="186" fillId="0" borderId="7" xfId="0" applyNumberFormat="1" applyFont="1" applyBorder="1" applyAlignment="1">
      <alignment vertical="center" textRotation="90"/>
    </xf>
    <xf numFmtId="167" fontId="34" fillId="16" borderId="29" xfId="42" applyNumberFormat="1" applyFont="1" applyFill="1" applyBorder="1" applyAlignment="1">
      <alignment horizontal="center" vertical="center"/>
    </xf>
    <xf numFmtId="0" fontId="4" fillId="0" borderId="0" xfId="83">
      <alignment/>
      <protection/>
    </xf>
    <xf numFmtId="0" fontId="4" fillId="0" borderId="0" xfId="83" applyFont="1">
      <alignment/>
      <protection/>
    </xf>
    <xf numFmtId="0" fontId="25" fillId="42" borderId="14" xfId="0" applyFont="1" applyFill="1" applyBorder="1" applyAlignment="1">
      <alignment horizontal="center" vertical="center"/>
    </xf>
    <xf numFmtId="0" fontId="25" fillId="42" borderId="55" xfId="0" applyFont="1" applyFill="1" applyBorder="1" applyAlignment="1">
      <alignment horizontal="center"/>
    </xf>
    <xf numFmtId="167" fontId="25" fillId="42" borderId="14" xfId="52" applyNumberFormat="1" applyFont="1" applyFill="1" applyBorder="1" applyAlignment="1">
      <alignment horizontal="center" vertical="center"/>
    </xf>
    <xf numFmtId="167" fontId="25" fillId="42" borderId="14" xfId="52" applyNumberFormat="1" applyFont="1" applyFill="1" applyBorder="1" applyAlignment="1">
      <alignment vertical="center"/>
    </xf>
    <xf numFmtId="0" fontId="25" fillId="42" borderId="22" xfId="0" applyFont="1" applyFill="1" applyBorder="1" applyAlignment="1">
      <alignment horizontal="center" vertical="center"/>
    </xf>
    <xf numFmtId="0" fontId="25" fillId="42" borderId="76" xfId="0" applyFont="1" applyFill="1" applyBorder="1" applyAlignment="1">
      <alignment horizontal="center"/>
    </xf>
    <xf numFmtId="167" fontId="25" fillId="42" borderId="22" xfId="52" applyNumberFormat="1" applyFont="1" applyFill="1" applyBorder="1" applyAlignment="1">
      <alignment horizontal="center" vertical="center"/>
    </xf>
    <xf numFmtId="167" fontId="25" fillId="42" borderId="22" xfId="52" applyNumberFormat="1" applyFont="1" applyFill="1" applyBorder="1" applyAlignment="1">
      <alignment vertical="center"/>
    </xf>
    <xf numFmtId="0" fontId="55" fillId="0" borderId="70" xfId="0" applyFont="1" applyFill="1" applyBorder="1" applyAlignment="1">
      <alignment/>
    </xf>
    <xf numFmtId="0" fontId="55" fillId="0" borderId="55" xfId="0" applyFont="1" applyFill="1" applyBorder="1" applyAlignment="1">
      <alignment horizontal="center"/>
    </xf>
    <xf numFmtId="167" fontId="55" fillId="0" borderId="46" xfId="42" applyNumberFormat="1" applyFont="1" applyBorder="1" applyAlignment="1">
      <alignment/>
    </xf>
    <xf numFmtId="179" fontId="4" fillId="0" borderId="0" xfId="83" applyNumberFormat="1">
      <alignment/>
      <protection/>
    </xf>
    <xf numFmtId="0" fontId="55" fillId="0" borderId="39" xfId="0" applyFont="1" applyFill="1" applyBorder="1" applyAlignment="1">
      <alignment/>
    </xf>
    <xf numFmtId="0" fontId="55" fillId="0" borderId="46" xfId="0" applyFont="1" applyFill="1" applyBorder="1" applyAlignment="1">
      <alignment horizontal="center"/>
    </xf>
    <xf numFmtId="0" fontId="55" fillId="0" borderId="74" xfId="0" applyFont="1" applyFill="1" applyBorder="1" applyAlignment="1">
      <alignment/>
    </xf>
    <xf numFmtId="0" fontId="55" fillId="0" borderId="48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/>
    </xf>
    <xf numFmtId="0" fontId="55" fillId="0" borderId="46" xfId="83" applyFont="1" applyFill="1" applyBorder="1" applyAlignment="1">
      <alignment horizontal="center"/>
      <protection/>
    </xf>
    <xf numFmtId="0" fontId="57" fillId="43" borderId="70" xfId="0" applyFont="1" applyFill="1" applyBorder="1" applyAlignment="1">
      <alignment/>
    </xf>
    <xf numFmtId="0" fontId="55" fillId="43" borderId="55" xfId="0" applyFont="1" applyFill="1" applyBorder="1" applyAlignment="1">
      <alignment horizontal="center"/>
    </xf>
    <xf numFmtId="0" fontId="57" fillId="43" borderId="39" xfId="0" applyFont="1" applyFill="1" applyBorder="1" applyAlignment="1">
      <alignment/>
    </xf>
    <xf numFmtId="0" fontId="55" fillId="43" borderId="46" xfId="0" applyFont="1" applyFill="1" applyBorder="1" applyAlignment="1">
      <alignment horizontal="center"/>
    </xf>
    <xf numFmtId="0" fontId="57" fillId="43" borderId="71" xfId="0" applyFont="1" applyFill="1" applyBorder="1" applyAlignment="1">
      <alignment/>
    </xf>
    <xf numFmtId="0" fontId="55" fillId="43" borderId="48" xfId="0" applyFont="1" applyFill="1" applyBorder="1" applyAlignment="1">
      <alignment horizontal="center"/>
    </xf>
    <xf numFmtId="0" fontId="57" fillId="0" borderId="70" xfId="0" applyFont="1" applyFill="1" applyBorder="1" applyAlignment="1">
      <alignment/>
    </xf>
    <xf numFmtId="0" fontId="57" fillId="0" borderId="39" xfId="0" applyFont="1" applyFill="1" applyBorder="1" applyAlignment="1">
      <alignment/>
    </xf>
    <xf numFmtId="0" fontId="57" fillId="0" borderId="71" xfId="0" applyFont="1" applyFill="1" applyBorder="1" applyAlignment="1">
      <alignment/>
    </xf>
    <xf numFmtId="0" fontId="55" fillId="0" borderId="76" xfId="0" applyFont="1" applyFill="1" applyBorder="1" applyAlignment="1">
      <alignment horizontal="center"/>
    </xf>
    <xf numFmtId="0" fontId="79" fillId="44" borderId="70" xfId="0" applyFont="1" applyFill="1" applyBorder="1" applyAlignment="1">
      <alignment horizontal="right"/>
    </xf>
    <xf numFmtId="0" fontId="55" fillId="44" borderId="55" xfId="0" applyFont="1" applyFill="1" applyBorder="1" applyAlignment="1">
      <alignment horizontal="center"/>
    </xf>
    <xf numFmtId="0" fontId="79" fillId="44" borderId="39" xfId="0" applyFont="1" applyFill="1" applyBorder="1" applyAlignment="1">
      <alignment horizontal="right"/>
    </xf>
    <xf numFmtId="0" fontId="55" fillId="44" borderId="46" xfId="0" applyFont="1" applyFill="1" applyBorder="1" applyAlignment="1">
      <alignment horizontal="center"/>
    </xf>
    <xf numFmtId="0" fontId="79" fillId="44" borderId="62" xfId="0" applyFont="1" applyFill="1" applyBorder="1" applyAlignment="1">
      <alignment horizontal="right"/>
    </xf>
    <xf numFmtId="0" fontId="55" fillId="44" borderId="76" xfId="83" applyFont="1" applyFill="1" applyBorder="1">
      <alignment/>
      <protection/>
    </xf>
    <xf numFmtId="0" fontId="55" fillId="44" borderId="46" xfId="0" applyFont="1" applyFill="1" applyBorder="1" applyAlignment="1">
      <alignment/>
    </xf>
    <xf numFmtId="0" fontId="79" fillId="44" borderId="71" xfId="0" applyFont="1" applyFill="1" applyBorder="1" applyAlignment="1">
      <alignment horizontal="right"/>
    </xf>
    <xf numFmtId="0" fontId="55" fillId="44" borderId="48" xfId="0" applyFont="1" applyFill="1" applyBorder="1" applyAlignment="1">
      <alignment/>
    </xf>
    <xf numFmtId="0" fontId="79" fillId="44" borderId="77" xfId="0" applyFont="1" applyFill="1" applyBorder="1" applyAlignment="1">
      <alignment horizontal="right"/>
    </xf>
    <xf numFmtId="0" fontId="84" fillId="44" borderId="55" xfId="0" applyFont="1" applyFill="1" applyBorder="1" applyAlignment="1">
      <alignment horizontal="right"/>
    </xf>
    <xf numFmtId="0" fontId="84" fillId="44" borderId="46" xfId="0" applyFont="1" applyFill="1" applyBorder="1" applyAlignment="1">
      <alignment horizontal="right"/>
    </xf>
    <xf numFmtId="0" fontId="84" fillId="44" borderId="48" xfId="0" applyFont="1" applyFill="1" applyBorder="1" applyAlignment="1">
      <alignment horizontal="right"/>
    </xf>
    <xf numFmtId="0" fontId="4" fillId="0" borderId="69" xfId="83" applyBorder="1">
      <alignment/>
      <protection/>
    </xf>
    <xf numFmtId="178" fontId="0" fillId="0" borderId="0" xfId="42" applyNumberFormat="1" applyFont="1" applyAlignment="1">
      <alignment/>
    </xf>
    <xf numFmtId="3" fontId="35" fillId="0" borderId="16" xfId="0" applyNumberFormat="1" applyFont="1" applyFill="1" applyBorder="1" applyAlignment="1">
      <alignment horizontal="right" vertical="center"/>
    </xf>
    <xf numFmtId="3" fontId="35" fillId="0" borderId="41" xfId="0" applyNumberFormat="1" applyFont="1" applyFill="1" applyBorder="1" applyAlignment="1">
      <alignment vertical="center"/>
    </xf>
    <xf numFmtId="0" fontId="152" fillId="0" borderId="14" xfId="0" applyFont="1" applyBorder="1" applyAlignment="1">
      <alignment horizontal="center" vertical="center" wrapText="1"/>
    </xf>
    <xf numFmtId="0" fontId="152" fillId="0" borderId="43" xfId="0" applyFont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horizontal="right" vertical="center"/>
    </xf>
    <xf numFmtId="3" fontId="37" fillId="0" borderId="35" xfId="0" applyNumberFormat="1" applyFont="1" applyFill="1" applyBorder="1" applyAlignment="1">
      <alignment horizontal="right" vertical="center"/>
    </xf>
    <xf numFmtId="3" fontId="35" fillId="0" borderId="25" xfId="0" applyNumberFormat="1" applyFont="1" applyBorder="1" applyAlignment="1">
      <alignment vertical="center"/>
    </xf>
    <xf numFmtId="3" fontId="35" fillId="32" borderId="78" xfId="0" applyNumberFormat="1" applyFont="1" applyFill="1" applyBorder="1" applyAlignment="1">
      <alignment vertical="center"/>
    </xf>
    <xf numFmtId="43" fontId="35" fillId="0" borderId="7" xfId="42" applyFont="1" applyBorder="1" applyAlignment="1">
      <alignment vertical="center"/>
    </xf>
    <xf numFmtId="4" fontId="35" fillId="0" borderId="46" xfId="0" applyNumberFormat="1" applyFont="1" applyBorder="1" applyAlignment="1">
      <alignment vertical="center"/>
    </xf>
    <xf numFmtId="43" fontId="35" fillId="32" borderId="7" xfId="42" applyFont="1" applyFill="1" applyBorder="1" applyAlignment="1">
      <alignment vertical="center"/>
    </xf>
    <xf numFmtId="4" fontId="35" fillId="32" borderId="46" xfId="0" applyNumberFormat="1" applyFont="1" applyFill="1" applyBorder="1" applyAlignment="1">
      <alignment vertical="center"/>
    </xf>
    <xf numFmtId="43" fontId="35" fillId="32" borderId="58" xfId="42" applyFont="1" applyFill="1" applyBorder="1" applyAlignment="1">
      <alignment vertical="center"/>
    </xf>
    <xf numFmtId="4" fontId="35" fillId="32" borderId="65" xfId="0" applyNumberFormat="1" applyFont="1" applyFill="1" applyBorder="1" applyAlignment="1">
      <alignment vertical="center"/>
    </xf>
    <xf numFmtId="3" fontId="182" fillId="0" borderId="0" xfId="0" applyNumberFormat="1" applyFont="1" applyFill="1" applyAlignment="1">
      <alignment/>
    </xf>
    <xf numFmtId="167" fontId="25" fillId="43" borderId="48" xfId="42" applyNumberFormat="1" applyFont="1" applyFill="1" applyBorder="1" applyAlignment="1">
      <alignment horizontal="center" vertical="center"/>
    </xf>
    <xf numFmtId="0" fontId="156" fillId="10" borderId="7" xfId="0" applyFont="1" applyFill="1" applyBorder="1" applyAlignment="1">
      <alignment horizontal="left" vertical="center" wrapText="1"/>
    </xf>
    <xf numFmtId="3" fontId="143" fillId="0" borderId="73" xfId="0" applyNumberFormat="1" applyFont="1" applyFill="1" applyBorder="1" applyAlignment="1">
      <alignment/>
    </xf>
    <xf numFmtId="3" fontId="143" fillId="0" borderId="0" xfId="0" applyNumberFormat="1" applyFont="1" applyFill="1" applyBorder="1" applyAlignment="1">
      <alignment/>
    </xf>
    <xf numFmtId="167" fontId="55" fillId="0" borderId="7" xfId="42" applyNumberFormat="1" applyFont="1" applyFill="1" applyBorder="1" applyAlignment="1">
      <alignment/>
    </xf>
    <xf numFmtId="17" fontId="6" fillId="0" borderId="60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left" vertical="center"/>
    </xf>
    <xf numFmtId="17" fontId="6" fillId="33" borderId="18" xfId="0" applyNumberFormat="1" applyFont="1" applyFill="1" applyBorder="1" applyAlignment="1">
      <alignment horizontal="center" vertical="center" wrapText="1"/>
    </xf>
    <xf numFmtId="17" fontId="6" fillId="0" borderId="15" xfId="0" applyNumberFormat="1" applyFont="1" applyFill="1" applyBorder="1" applyAlignment="1">
      <alignment horizontal="center" vertical="center" wrapText="1"/>
    </xf>
    <xf numFmtId="3" fontId="153" fillId="0" borderId="16" xfId="0" applyNumberFormat="1" applyFont="1" applyFill="1" applyBorder="1" applyAlignment="1">
      <alignment vertical="center"/>
    </xf>
    <xf numFmtId="167" fontId="163" fillId="0" borderId="11" xfId="42" applyNumberFormat="1" applyFont="1" applyFill="1" applyBorder="1" applyAlignment="1">
      <alignment/>
    </xf>
    <xf numFmtId="3" fontId="35" fillId="0" borderId="19" xfId="0" applyNumberFormat="1" applyFont="1" applyFill="1" applyBorder="1" applyAlignment="1">
      <alignment horizontal="center" vertical="center"/>
    </xf>
    <xf numFmtId="167" fontId="55" fillId="0" borderId="7" xfId="42" applyNumberFormat="1" applyFont="1" applyBorder="1" applyAlignment="1">
      <alignment/>
    </xf>
    <xf numFmtId="167" fontId="35" fillId="0" borderId="43" xfId="0" applyNumberFormat="1" applyFont="1" applyFill="1" applyBorder="1" applyAlignment="1">
      <alignment/>
    </xf>
    <xf numFmtId="0" fontId="166" fillId="0" borderId="0" xfId="0" applyFont="1" applyFill="1" applyAlignment="1">
      <alignment/>
    </xf>
    <xf numFmtId="0" fontId="166" fillId="0" borderId="0" xfId="0" applyFont="1" applyFill="1" applyAlignment="1">
      <alignment vertical="center"/>
    </xf>
    <xf numFmtId="0" fontId="166" fillId="0" borderId="7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56" fillId="0" borderId="7" xfId="0" applyFont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56" fillId="0" borderId="7" xfId="0" applyFont="1" applyFill="1" applyBorder="1" applyAlignment="1">
      <alignment horizontal="left" vertical="center"/>
    </xf>
    <xf numFmtId="167" fontId="155" fillId="0" borderId="33" xfId="0" applyNumberFormat="1" applyFont="1" applyBorder="1" applyAlignment="1">
      <alignment/>
    </xf>
    <xf numFmtId="167" fontId="155" fillId="0" borderId="0" xfId="0" applyNumberFormat="1" applyFont="1" applyBorder="1" applyAlignment="1">
      <alignment/>
    </xf>
    <xf numFmtId="167" fontId="155" fillId="0" borderId="7" xfId="0" applyNumberFormat="1" applyFont="1" applyBorder="1" applyAlignment="1">
      <alignment/>
    </xf>
    <xf numFmtId="3" fontId="163" fillId="40" borderId="22" xfId="0" applyNumberFormat="1" applyFont="1" applyFill="1" applyBorder="1" applyAlignment="1">
      <alignment horizontal="center" vertical="center"/>
    </xf>
    <xf numFmtId="167" fontId="155" fillId="33" borderId="7" xfId="0" applyNumberFormat="1" applyFont="1" applyFill="1" applyBorder="1" applyAlignment="1">
      <alignment/>
    </xf>
    <xf numFmtId="0" fontId="37" fillId="0" borderId="47" xfId="0" applyFont="1" applyFill="1" applyBorder="1" applyAlignment="1">
      <alignment/>
    </xf>
    <xf numFmtId="1" fontId="37" fillId="0" borderId="35" xfId="0" applyNumberFormat="1" applyFont="1" applyBorder="1" applyAlignment="1">
      <alignment horizontal="center" vertical="center"/>
    </xf>
    <xf numFmtId="37" fontId="156" fillId="0" borderId="7" xfId="42" applyNumberFormat="1" applyFont="1" applyBorder="1" applyAlignment="1">
      <alignment/>
    </xf>
    <xf numFmtId="0" fontId="37" fillId="0" borderId="23" xfId="0" applyFont="1" applyFill="1" applyBorder="1" applyAlignment="1">
      <alignment/>
    </xf>
    <xf numFmtId="1" fontId="37" fillId="0" borderId="17" xfId="0" applyNumberFormat="1" applyFont="1" applyBorder="1" applyAlignment="1">
      <alignment horizontal="center" vertical="center"/>
    </xf>
    <xf numFmtId="0" fontId="4" fillId="8" borderId="17" xfId="0" applyFont="1" applyFill="1" applyBorder="1" applyAlignment="1">
      <alignment/>
    </xf>
    <xf numFmtId="0" fontId="156" fillId="8" borderId="7" xfId="0" applyFont="1" applyFill="1" applyBorder="1" applyAlignment="1">
      <alignment/>
    </xf>
    <xf numFmtId="0" fontId="156" fillId="8" borderId="17" xfId="0" applyFont="1" applyFill="1" applyBorder="1" applyAlignment="1">
      <alignment horizontal="left" vertical="center"/>
    </xf>
    <xf numFmtId="3" fontId="37" fillId="8" borderId="17" xfId="78" applyNumberFormat="1" applyFont="1" applyFill="1" applyBorder="1" applyAlignment="1">
      <alignment horizontal="right"/>
      <protection/>
    </xf>
    <xf numFmtId="167" fontId="155" fillId="8" borderId="17" xfId="0" applyNumberFormat="1" applyFont="1" applyFill="1" applyBorder="1" applyAlignment="1">
      <alignment/>
    </xf>
    <xf numFmtId="37" fontId="155" fillId="8" borderId="7" xfId="0" applyNumberFormat="1" applyFont="1" applyFill="1" applyBorder="1" applyAlignment="1">
      <alignment/>
    </xf>
    <xf numFmtId="167" fontId="155" fillId="8" borderId="33" xfId="0" applyNumberFormat="1" applyFont="1" applyFill="1" applyBorder="1" applyAlignment="1">
      <alignment/>
    </xf>
    <xf numFmtId="167" fontId="23" fillId="8" borderId="33" xfId="0" applyNumberFormat="1" applyFont="1" applyFill="1" applyBorder="1" applyAlignment="1">
      <alignment/>
    </xf>
    <xf numFmtId="0" fontId="4" fillId="8" borderId="7" xfId="0" applyFont="1" applyFill="1" applyBorder="1" applyAlignment="1">
      <alignment/>
    </xf>
    <xf numFmtId="0" fontId="156" fillId="8" borderId="17" xfId="0" applyFont="1" applyFill="1" applyBorder="1" applyAlignment="1">
      <alignment/>
    </xf>
    <xf numFmtId="37" fontId="155" fillId="8" borderId="17" xfId="0" applyNumberFormat="1" applyFont="1" applyFill="1" applyBorder="1" applyAlignment="1">
      <alignment/>
    </xf>
    <xf numFmtId="167" fontId="155" fillId="8" borderId="29" xfId="0" applyNumberFormat="1" applyFont="1" applyFill="1" applyBorder="1" applyAlignment="1">
      <alignment/>
    </xf>
    <xf numFmtId="167" fontId="23" fillId="8" borderId="29" xfId="0" applyNumberFormat="1" applyFont="1" applyFill="1" applyBorder="1" applyAlignment="1">
      <alignment/>
    </xf>
    <xf numFmtId="0" fontId="4" fillId="8" borderId="35" xfId="0" applyFont="1" applyFill="1" applyBorder="1" applyAlignment="1">
      <alignment/>
    </xf>
    <xf numFmtId="0" fontId="156" fillId="8" borderId="7" xfId="0" applyFont="1" applyFill="1" applyBorder="1" applyAlignment="1">
      <alignment horizontal="left" vertical="center"/>
    </xf>
    <xf numFmtId="3" fontId="37" fillId="8" borderId="7" xfId="78" applyNumberFormat="1" applyFont="1" applyFill="1" applyBorder="1" applyAlignment="1">
      <alignment horizontal="right"/>
      <protection/>
    </xf>
    <xf numFmtId="167" fontId="155" fillId="8" borderId="7" xfId="0" applyNumberFormat="1" applyFont="1" applyFill="1" applyBorder="1" applyAlignment="1">
      <alignment/>
    </xf>
    <xf numFmtId="167" fontId="23" fillId="8" borderId="7" xfId="0" applyNumberFormat="1" applyFont="1" applyFill="1" applyBorder="1" applyAlignment="1">
      <alignment/>
    </xf>
    <xf numFmtId="167" fontId="4" fillId="0" borderId="0" xfId="83" applyNumberFormat="1">
      <alignment/>
      <protection/>
    </xf>
    <xf numFmtId="167" fontId="22" fillId="0" borderId="79" xfId="42" applyNumberFormat="1" applyFont="1" applyBorder="1" applyAlignment="1">
      <alignment/>
    </xf>
    <xf numFmtId="167" fontId="22" fillId="0" borderId="80" xfId="42" applyNumberFormat="1" applyFont="1" applyBorder="1" applyAlignment="1">
      <alignment/>
    </xf>
    <xf numFmtId="167" fontId="22" fillId="0" borderId="55" xfId="42" applyNumberFormat="1" applyFont="1" applyBorder="1" applyAlignment="1">
      <alignment/>
    </xf>
    <xf numFmtId="167" fontId="22" fillId="0" borderId="46" xfId="42" applyNumberFormat="1" applyFont="1" applyBorder="1" applyAlignment="1">
      <alignment/>
    </xf>
    <xf numFmtId="167" fontId="36" fillId="0" borderId="45" xfId="0" applyNumberFormat="1" applyFont="1" applyBorder="1" applyAlignment="1">
      <alignment/>
    </xf>
    <xf numFmtId="167" fontId="22" fillId="0" borderId="76" xfId="42" applyNumberFormat="1" applyFont="1" applyBorder="1" applyAlignment="1">
      <alignment/>
    </xf>
    <xf numFmtId="167" fontId="22" fillId="0" borderId="0" xfId="42" applyNumberFormat="1" applyFont="1" applyBorder="1" applyAlignment="1">
      <alignment/>
    </xf>
    <xf numFmtId="167" fontId="22" fillId="0" borderId="53" xfId="42" applyNumberFormat="1" applyFont="1" applyBorder="1" applyAlignment="1">
      <alignment/>
    </xf>
    <xf numFmtId="167" fontId="22" fillId="0" borderId="81" xfId="42" applyNumberFormat="1" applyFont="1" applyBorder="1" applyAlignment="1">
      <alignment/>
    </xf>
    <xf numFmtId="167" fontId="22" fillId="0" borderId="25" xfId="42" applyNumberFormat="1" applyFont="1" applyBorder="1" applyAlignment="1">
      <alignment/>
    </xf>
    <xf numFmtId="167" fontId="22" fillId="0" borderId="48" xfId="42" applyNumberFormat="1" applyFont="1" applyBorder="1" applyAlignment="1">
      <alignment/>
    </xf>
    <xf numFmtId="167" fontId="36" fillId="0" borderId="53" xfId="0" applyNumberFormat="1" applyFont="1" applyBorder="1" applyAlignment="1">
      <alignment/>
    </xf>
    <xf numFmtId="167" fontId="22" fillId="0" borderId="14" xfId="42" applyNumberFormat="1" applyFont="1" applyBorder="1" applyAlignment="1">
      <alignment/>
    </xf>
    <xf numFmtId="167" fontId="22" fillId="0" borderId="69" xfId="42" applyNumberFormat="1" applyFont="1" applyBorder="1" applyAlignment="1">
      <alignment/>
    </xf>
    <xf numFmtId="167" fontId="22" fillId="0" borderId="45" xfId="42" applyNumberFormat="1" applyFont="1" applyBorder="1" applyAlignment="1">
      <alignment/>
    </xf>
    <xf numFmtId="167" fontId="36" fillId="0" borderId="55" xfId="0" applyNumberFormat="1" applyFont="1" applyBorder="1" applyAlignment="1">
      <alignment/>
    </xf>
    <xf numFmtId="167" fontId="22" fillId="0" borderId="40" xfId="42" applyNumberFormat="1" applyFont="1" applyBorder="1" applyAlignment="1">
      <alignment/>
    </xf>
    <xf numFmtId="167" fontId="36" fillId="0" borderId="22" xfId="0" applyNumberFormat="1" applyFont="1" applyBorder="1" applyAlignment="1">
      <alignment/>
    </xf>
    <xf numFmtId="167" fontId="22" fillId="43" borderId="55" xfId="42" applyNumberFormat="1" applyFont="1" applyFill="1" applyBorder="1" applyAlignment="1">
      <alignment/>
    </xf>
    <xf numFmtId="167" fontId="22" fillId="43" borderId="45" xfId="42" applyNumberFormat="1" applyFont="1" applyFill="1" applyBorder="1" applyAlignment="1">
      <alignment/>
    </xf>
    <xf numFmtId="167" fontId="22" fillId="43" borderId="70" xfId="42" applyNumberFormat="1" applyFont="1" applyFill="1" applyBorder="1" applyAlignment="1">
      <alignment/>
    </xf>
    <xf numFmtId="167" fontId="22" fillId="43" borderId="80" xfId="42" applyNumberFormat="1" applyFont="1" applyFill="1" applyBorder="1" applyAlignment="1">
      <alignment/>
    </xf>
    <xf numFmtId="167" fontId="10" fillId="43" borderId="82" xfId="42" applyNumberFormat="1" applyFont="1" applyFill="1" applyBorder="1" applyAlignment="1">
      <alignment/>
    </xf>
    <xf numFmtId="167" fontId="36" fillId="43" borderId="55" xfId="42" applyNumberFormat="1" applyFont="1" applyFill="1" applyBorder="1" applyAlignment="1">
      <alignment/>
    </xf>
    <xf numFmtId="167" fontId="22" fillId="43" borderId="68" xfId="42" applyNumberFormat="1" applyFont="1" applyFill="1" applyBorder="1" applyAlignment="1">
      <alignment/>
    </xf>
    <xf numFmtId="167" fontId="22" fillId="43" borderId="40" xfId="42" applyNumberFormat="1" applyFont="1" applyFill="1" applyBorder="1" applyAlignment="1">
      <alignment/>
    </xf>
    <xf numFmtId="167" fontId="22" fillId="43" borderId="46" xfId="42" applyNumberFormat="1" applyFont="1" applyFill="1" applyBorder="1" applyAlignment="1">
      <alignment/>
    </xf>
    <xf numFmtId="167" fontId="22" fillId="43" borderId="39" xfId="42" applyNumberFormat="1" applyFont="1" applyFill="1" applyBorder="1" applyAlignment="1">
      <alignment/>
    </xf>
    <xf numFmtId="167" fontId="10" fillId="43" borderId="40" xfId="42" applyNumberFormat="1" applyFont="1" applyFill="1" applyBorder="1" applyAlignment="1">
      <alignment/>
    </xf>
    <xf numFmtId="167" fontId="36" fillId="43" borderId="46" xfId="42" applyNumberFormat="1" applyFont="1" applyFill="1" applyBorder="1" applyAlignment="1">
      <alignment/>
    </xf>
    <xf numFmtId="37" fontId="10" fillId="43" borderId="48" xfId="42" applyNumberFormat="1" applyFont="1" applyFill="1" applyBorder="1" applyAlignment="1">
      <alignment/>
    </xf>
    <xf numFmtId="37" fontId="10" fillId="43" borderId="83" xfId="42" applyNumberFormat="1" applyFont="1" applyFill="1" applyBorder="1" applyAlignment="1">
      <alignment/>
    </xf>
    <xf numFmtId="37" fontId="10" fillId="43" borderId="78" xfId="42" applyNumberFormat="1" applyFont="1" applyFill="1" applyBorder="1" applyAlignment="1">
      <alignment/>
    </xf>
    <xf numFmtId="167" fontId="36" fillId="43" borderId="48" xfId="42" applyNumberFormat="1" applyFont="1" applyFill="1" applyBorder="1" applyAlignment="1">
      <alignment/>
    </xf>
    <xf numFmtId="167" fontId="22" fillId="0" borderId="84" xfId="42" applyNumberFormat="1" applyFont="1" applyBorder="1" applyAlignment="1">
      <alignment/>
    </xf>
    <xf numFmtId="167" fontId="36" fillId="0" borderId="45" xfId="42" applyNumberFormat="1" applyFont="1" applyBorder="1" applyAlignment="1">
      <alignment/>
    </xf>
    <xf numFmtId="167" fontId="22" fillId="0" borderId="68" xfId="42" applyNumberFormat="1" applyFont="1" applyBorder="1" applyAlignment="1">
      <alignment/>
    </xf>
    <xf numFmtId="43" fontId="22" fillId="0" borderId="68" xfId="42" applyNumberFormat="1" applyFont="1" applyBorder="1" applyAlignment="1">
      <alignment horizontal="right"/>
    </xf>
    <xf numFmtId="43" fontId="22" fillId="0" borderId="39" xfId="42" applyNumberFormat="1" applyFont="1" applyBorder="1" applyAlignment="1">
      <alignment horizontal="right"/>
    </xf>
    <xf numFmtId="43" fontId="22" fillId="0" borderId="46" xfId="42" applyNumberFormat="1" applyFont="1" applyBorder="1" applyAlignment="1">
      <alignment horizontal="right"/>
    </xf>
    <xf numFmtId="43" fontId="22" fillId="0" borderId="40" xfId="42" applyNumberFormat="1" applyFont="1" applyBorder="1" applyAlignment="1">
      <alignment horizontal="right"/>
    </xf>
    <xf numFmtId="43" fontId="36" fillId="0" borderId="45" xfId="42" applyNumberFormat="1" applyFont="1" applyBorder="1" applyAlignment="1">
      <alignment/>
    </xf>
    <xf numFmtId="167" fontId="22" fillId="0" borderId="78" xfId="42" applyNumberFormat="1" applyFont="1" applyBorder="1" applyAlignment="1">
      <alignment/>
    </xf>
    <xf numFmtId="167" fontId="22" fillId="0" borderId="71" xfId="42" applyNumberFormat="1" applyFont="1" applyBorder="1" applyAlignment="1">
      <alignment/>
    </xf>
    <xf numFmtId="167" fontId="22" fillId="0" borderId="83" xfId="42" applyNumberFormat="1" applyFont="1" applyBorder="1" applyAlignment="1">
      <alignment/>
    </xf>
    <xf numFmtId="167" fontId="36" fillId="0" borderId="53" xfId="42" applyNumberFormat="1" applyFont="1" applyBorder="1" applyAlignment="1">
      <alignment/>
    </xf>
    <xf numFmtId="167" fontId="22" fillId="43" borderId="79" xfId="42" applyNumberFormat="1" applyFont="1" applyFill="1" applyBorder="1" applyAlignment="1">
      <alignment/>
    </xf>
    <xf numFmtId="167" fontId="22" fillId="44" borderId="68" xfId="42" applyNumberFormat="1" applyFont="1" applyFill="1" applyBorder="1" applyAlignment="1">
      <alignment/>
    </xf>
    <xf numFmtId="167" fontId="22" fillId="44" borderId="46" xfId="42" applyNumberFormat="1" applyFont="1" applyFill="1" applyBorder="1" applyAlignment="1">
      <alignment/>
    </xf>
    <xf numFmtId="167" fontId="36" fillId="44" borderId="46" xfId="42" applyNumberFormat="1" applyFont="1" applyFill="1" applyBorder="1" applyAlignment="1">
      <alignment/>
    </xf>
    <xf numFmtId="167" fontId="22" fillId="0" borderId="81" xfId="42" applyNumberFormat="1" applyFont="1" applyFill="1" applyBorder="1" applyAlignment="1">
      <alignment/>
    </xf>
    <xf numFmtId="167" fontId="22" fillId="0" borderId="25" xfId="42" applyNumberFormat="1" applyFont="1" applyFill="1" applyBorder="1" applyAlignment="1">
      <alignment/>
    </xf>
    <xf numFmtId="167" fontId="22" fillId="0" borderId="76" xfId="42" applyNumberFormat="1" applyFont="1" applyFill="1" applyBorder="1" applyAlignment="1">
      <alignment/>
    </xf>
    <xf numFmtId="167" fontId="22" fillId="44" borderId="25" xfId="42" applyNumberFormat="1" applyFont="1" applyFill="1" applyBorder="1" applyAlignment="1">
      <alignment/>
    </xf>
    <xf numFmtId="167" fontId="22" fillId="45" borderId="76" xfId="42" applyNumberFormat="1" applyFont="1" applyFill="1" applyBorder="1" applyAlignment="1">
      <alignment/>
    </xf>
    <xf numFmtId="167" fontId="22" fillId="44" borderId="76" xfId="42" applyNumberFormat="1" applyFont="1" applyFill="1" applyBorder="1" applyAlignment="1">
      <alignment/>
    </xf>
    <xf numFmtId="167" fontId="36" fillId="0" borderId="46" xfId="0" applyNumberFormat="1" applyFont="1" applyFill="1" applyBorder="1" applyAlignment="1">
      <alignment/>
    </xf>
    <xf numFmtId="2" fontId="22" fillId="0" borderId="76" xfId="42" applyNumberFormat="1" applyFont="1" applyFill="1" applyBorder="1" applyAlignment="1">
      <alignment/>
    </xf>
    <xf numFmtId="177" fontId="22" fillId="0" borderId="76" xfId="42" applyNumberFormat="1" applyFont="1" applyFill="1" applyBorder="1" applyAlignment="1">
      <alignment/>
    </xf>
    <xf numFmtId="177" fontId="22" fillId="44" borderId="25" xfId="42" applyNumberFormat="1" applyFont="1" applyFill="1" applyBorder="1" applyAlignment="1">
      <alignment/>
    </xf>
    <xf numFmtId="2" fontId="22" fillId="0" borderId="25" xfId="42" applyNumberFormat="1" applyFont="1" applyFill="1" applyBorder="1" applyAlignment="1">
      <alignment/>
    </xf>
    <xf numFmtId="2" fontId="22" fillId="0" borderId="81" xfId="42" applyNumberFormat="1" applyFont="1" applyFill="1" applyBorder="1" applyAlignment="1">
      <alignment/>
    </xf>
    <xf numFmtId="167" fontId="22" fillId="0" borderId="76" xfId="42" applyNumberFormat="1" applyFont="1" applyFill="1" applyBorder="1" applyAlignment="1">
      <alignment horizontal="center" vertical="center"/>
    </xf>
    <xf numFmtId="2" fontId="22" fillId="44" borderId="25" xfId="42" applyNumberFormat="1" applyFont="1" applyFill="1" applyBorder="1" applyAlignment="1">
      <alignment/>
    </xf>
    <xf numFmtId="43" fontId="22" fillId="0" borderId="76" xfId="42" applyNumberFormat="1" applyFont="1" applyFill="1" applyBorder="1" applyAlignment="1">
      <alignment/>
    </xf>
    <xf numFmtId="167" fontId="35" fillId="44" borderId="78" xfId="42" applyNumberFormat="1" applyFont="1" applyFill="1" applyBorder="1" applyAlignment="1">
      <alignment/>
    </xf>
    <xf numFmtId="167" fontId="35" fillId="45" borderId="48" xfId="42" applyNumberFormat="1" applyFont="1" applyFill="1" applyBorder="1" applyAlignment="1">
      <alignment/>
    </xf>
    <xf numFmtId="167" fontId="85" fillId="44" borderId="84" xfId="42" applyNumberFormat="1" applyFont="1" applyFill="1" applyBorder="1" applyAlignment="1">
      <alignment/>
    </xf>
    <xf numFmtId="167" fontId="85" fillId="44" borderId="82" xfId="42" applyNumberFormat="1" applyFont="1" applyFill="1" applyBorder="1" applyAlignment="1">
      <alignment/>
    </xf>
    <xf numFmtId="167" fontId="85" fillId="44" borderId="45" xfId="42" applyNumberFormat="1" applyFont="1" applyFill="1" applyBorder="1" applyAlignment="1">
      <alignment/>
    </xf>
    <xf numFmtId="167" fontId="86" fillId="44" borderId="45" xfId="42" applyNumberFormat="1" applyFont="1" applyFill="1" applyBorder="1" applyAlignment="1">
      <alignment/>
    </xf>
    <xf numFmtId="167" fontId="85" fillId="45" borderId="45" xfId="42" applyNumberFormat="1" applyFont="1" applyFill="1" applyBorder="1" applyAlignment="1">
      <alignment/>
    </xf>
    <xf numFmtId="167" fontId="85" fillId="45" borderId="82" xfId="42" applyNumberFormat="1" applyFont="1" applyFill="1" applyBorder="1" applyAlignment="1">
      <alignment/>
    </xf>
    <xf numFmtId="167" fontId="36" fillId="0" borderId="45" xfId="0" applyNumberFormat="1" applyFont="1" applyFill="1" applyBorder="1" applyAlignment="1">
      <alignment/>
    </xf>
    <xf numFmtId="167" fontId="85" fillId="44" borderId="68" xfId="42" applyNumberFormat="1" applyFont="1" applyFill="1" applyBorder="1" applyAlignment="1">
      <alignment/>
    </xf>
    <xf numFmtId="167" fontId="85" fillId="44" borderId="40" xfId="42" applyNumberFormat="1" applyFont="1" applyFill="1" applyBorder="1" applyAlignment="1">
      <alignment/>
    </xf>
    <xf numFmtId="167" fontId="85" fillId="44" borderId="46" xfId="42" applyNumberFormat="1" applyFont="1" applyFill="1" applyBorder="1" applyAlignment="1">
      <alignment/>
    </xf>
    <xf numFmtId="167" fontId="86" fillId="44" borderId="46" xfId="42" applyNumberFormat="1" applyFont="1" applyFill="1" applyBorder="1" applyAlignment="1">
      <alignment/>
    </xf>
    <xf numFmtId="167" fontId="85" fillId="45" borderId="46" xfId="42" applyNumberFormat="1" applyFont="1" applyFill="1" applyBorder="1" applyAlignment="1">
      <alignment/>
    </xf>
    <xf numFmtId="167" fontId="85" fillId="45" borderId="40" xfId="42" applyNumberFormat="1" applyFont="1" applyFill="1" applyBorder="1" applyAlignment="1">
      <alignment/>
    </xf>
    <xf numFmtId="167" fontId="85" fillId="44" borderId="78" xfId="42" applyNumberFormat="1" applyFont="1" applyFill="1" applyBorder="1" applyAlignment="1">
      <alignment/>
    </xf>
    <xf numFmtId="167" fontId="85" fillId="44" borderId="83" xfId="42" applyNumberFormat="1" applyFont="1" applyFill="1" applyBorder="1" applyAlignment="1">
      <alignment/>
    </xf>
    <xf numFmtId="167" fontId="85" fillId="44" borderId="48" xfId="42" applyNumberFormat="1" applyFont="1" applyFill="1" applyBorder="1" applyAlignment="1">
      <alignment/>
    </xf>
    <xf numFmtId="167" fontId="86" fillId="44" borderId="48" xfId="42" applyNumberFormat="1" applyFont="1" applyFill="1" applyBorder="1" applyAlignment="1">
      <alignment/>
    </xf>
    <xf numFmtId="167" fontId="85" fillId="45" borderId="48" xfId="42" applyNumberFormat="1" applyFont="1" applyFill="1" applyBorder="1" applyAlignment="1">
      <alignment/>
    </xf>
    <xf numFmtId="167" fontId="85" fillId="45" borderId="71" xfId="42" applyNumberFormat="1" applyFont="1" applyFill="1" applyBorder="1" applyAlignment="1">
      <alignment/>
    </xf>
    <xf numFmtId="167" fontId="22" fillId="0" borderId="33" xfId="42" applyNumberFormat="1" applyFont="1" applyFill="1" applyBorder="1" applyAlignment="1">
      <alignment/>
    </xf>
    <xf numFmtId="167" fontId="36" fillId="0" borderId="23" xfId="0" applyNumberFormat="1" applyFont="1" applyFill="1" applyBorder="1" applyAlignment="1">
      <alignment/>
    </xf>
    <xf numFmtId="167" fontId="10" fillId="0" borderId="7" xfId="42" applyNumberFormat="1" applyFont="1" applyFill="1" applyBorder="1" applyAlignment="1">
      <alignment/>
    </xf>
    <xf numFmtId="167" fontId="22" fillId="0" borderId="40" xfId="42" applyNumberFormat="1" applyFont="1" applyFill="1" applyBorder="1" applyAlignment="1">
      <alignment/>
    </xf>
    <xf numFmtId="167" fontId="35" fillId="0" borderId="40" xfId="42" applyNumberFormat="1" applyFont="1" applyFill="1" applyBorder="1" applyAlignment="1">
      <alignment/>
    </xf>
    <xf numFmtId="167" fontId="4" fillId="0" borderId="40" xfId="83" applyNumberFormat="1" applyFont="1" applyFill="1" applyBorder="1" applyAlignment="1">
      <alignment vertical="center"/>
      <protection/>
    </xf>
    <xf numFmtId="167" fontId="35" fillId="0" borderId="43" xfId="0" applyNumberFormat="1" applyFont="1" applyFill="1" applyBorder="1" applyAlignment="1">
      <alignment horizontal="center" vertical="center"/>
    </xf>
    <xf numFmtId="169" fontId="163" fillId="36" borderId="7" xfId="0" applyNumberFormat="1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152" fillId="0" borderId="34" xfId="0" applyFont="1" applyFill="1" applyBorder="1" applyAlignment="1">
      <alignment horizontal="center" vertical="center" wrapText="1"/>
    </xf>
    <xf numFmtId="0" fontId="152" fillId="0" borderId="60" xfId="0" applyFont="1" applyBorder="1" applyAlignment="1">
      <alignment horizontal="center" vertical="center" wrapText="1"/>
    </xf>
    <xf numFmtId="0" fontId="152" fillId="0" borderId="34" xfId="0" applyFont="1" applyFill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167" fontId="153" fillId="0" borderId="47" xfId="0" applyNumberFormat="1" applyFont="1" applyFill="1" applyBorder="1" applyAlignment="1">
      <alignment/>
    </xf>
    <xf numFmtId="167" fontId="153" fillId="0" borderId="63" xfId="0" applyNumberFormat="1" applyFont="1" applyFill="1" applyBorder="1" applyAlignment="1">
      <alignment/>
    </xf>
    <xf numFmtId="167" fontId="153" fillId="0" borderId="18" xfId="0" applyNumberFormat="1" applyFont="1" applyFill="1" applyBorder="1" applyAlignment="1">
      <alignment vertical="center"/>
    </xf>
    <xf numFmtId="167" fontId="153" fillId="0" borderId="32" xfId="0" applyNumberFormat="1" applyFont="1" applyFill="1" applyBorder="1" applyAlignment="1">
      <alignment/>
    </xf>
    <xf numFmtId="167" fontId="153" fillId="0" borderId="44" xfId="0" applyNumberFormat="1" applyFont="1" applyFill="1" applyBorder="1" applyAlignment="1">
      <alignment/>
    </xf>
    <xf numFmtId="167" fontId="153" fillId="0" borderId="18" xfId="0" applyNumberFormat="1" applyFont="1" applyFill="1" applyBorder="1" applyAlignment="1">
      <alignment/>
    </xf>
    <xf numFmtId="167" fontId="153" fillId="0" borderId="11" xfId="0" applyNumberFormat="1" applyFont="1" applyFill="1" applyBorder="1" applyAlignment="1">
      <alignment/>
    </xf>
    <xf numFmtId="167" fontId="23" fillId="0" borderId="11" xfId="0" applyNumberFormat="1" applyFont="1" applyFill="1" applyBorder="1" applyAlignment="1">
      <alignment/>
    </xf>
    <xf numFmtId="167" fontId="153" fillId="0" borderId="24" xfId="0" applyNumberFormat="1" applyFont="1" applyFill="1" applyBorder="1" applyAlignment="1">
      <alignment vertical="center"/>
    </xf>
    <xf numFmtId="167" fontId="153" fillId="0" borderId="33" xfId="0" applyNumberFormat="1" applyFont="1" applyFill="1" applyBorder="1" applyAlignment="1">
      <alignment/>
    </xf>
    <xf numFmtId="167" fontId="153" fillId="0" borderId="16" xfId="0" applyNumberFormat="1" applyFont="1" applyFill="1" applyBorder="1" applyAlignment="1">
      <alignment/>
    </xf>
    <xf numFmtId="167" fontId="23" fillId="0" borderId="47" xfId="0" applyNumberFormat="1" applyFont="1" applyFill="1" applyBorder="1" applyAlignment="1">
      <alignment/>
    </xf>
    <xf numFmtId="167" fontId="23" fillId="0" borderId="24" xfId="0" applyNumberFormat="1" applyFont="1" applyFill="1" applyBorder="1" applyAlignment="1">
      <alignment vertical="center"/>
    </xf>
    <xf numFmtId="167" fontId="23" fillId="0" borderId="16" xfId="0" applyNumberFormat="1" applyFont="1" applyFill="1" applyBorder="1" applyAlignment="1">
      <alignment/>
    </xf>
    <xf numFmtId="167" fontId="23" fillId="0" borderId="23" xfId="42" applyNumberFormat="1" applyFont="1" applyFill="1" applyBorder="1" applyAlignment="1">
      <alignment/>
    </xf>
    <xf numFmtId="167" fontId="23" fillId="0" borderId="63" xfId="42" applyNumberFormat="1" applyFont="1" applyFill="1" applyBorder="1" applyAlignment="1">
      <alignment/>
    </xf>
    <xf numFmtId="167" fontId="23" fillId="0" borderId="16" xfId="42" applyNumberFormat="1" applyFont="1" applyFill="1" applyBorder="1" applyAlignment="1">
      <alignment vertical="center"/>
    </xf>
    <xf numFmtId="167" fontId="23" fillId="0" borderId="44" xfId="42" applyNumberFormat="1" applyFont="1" applyFill="1" applyBorder="1" applyAlignment="1">
      <alignment/>
    </xf>
    <xf numFmtId="167" fontId="23" fillId="0" borderId="16" xfId="42" applyNumberFormat="1" applyFont="1" applyFill="1" applyBorder="1" applyAlignment="1">
      <alignment/>
    </xf>
    <xf numFmtId="167" fontId="153" fillId="0" borderId="21" xfId="0" applyNumberFormat="1" applyFont="1" applyFill="1" applyBorder="1" applyAlignment="1">
      <alignment/>
    </xf>
    <xf numFmtId="167" fontId="153" fillId="0" borderId="29" xfId="0" applyNumberFormat="1" applyFont="1" applyFill="1" applyBorder="1" applyAlignment="1">
      <alignment/>
    </xf>
    <xf numFmtId="167" fontId="153" fillId="0" borderId="50" xfId="0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/>
    </xf>
    <xf numFmtId="167" fontId="153" fillId="0" borderId="11" xfId="42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/>
    </xf>
    <xf numFmtId="167" fontId="153" fillId="0" borderId="13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 vertical="center"/>
    </xf>
    <xf numFmtId="167" fontId="153" fillId="0" borderId="13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/>
    </xf>
    <xf numFmtId="167" fontId="153" fillId="0" borderId="85" xfId="0" applyNumberFormat="1" applyFont="1" applyFill="1" applyBorder="1" applyAlignment="1">
      <alignment horizontal="right"/>
    </xf>
    <xf numFmtId="167" fontId="153" fillId="0" borderId="13" xfId="0" applyNumberFormat="1" applyFont="1" applyFill="1" applyBorder="1" applyAlignment="1">
      <alignment horizontal="right"/>
    </xf>
    <xf numFmtId="167" fontId="153" fillId="0" borderId="85" xfId="42" applyNumberFormat="1" applyFont="1" applyFill="1" applyBorder="1" applyAlignment="1">
      <alignment/>
    </xf>
    <xf numFmtId="167" fontId="153" fillId="0" borderId="13" xfId="42" applyNumberFormat="1" applyFont="1" applyFill="1" applyBorder="1" applyAlignment="1">
      <alignment/>
    </xf>
    <xf numFmtId="167" fontId="153" fillId="0" borderId="58" xfId="0" applyNumberFormat="1" applyFont="1" applyFill="1" applyBorder="1" applyAlignment="1">
      <alignment/>
    </xf>
    <xf numFmtId="167" fontId="153" fillId="0" borderId="65" xfId="0" applyNumberFormat="1" applyFont="1" applyFill="1" applyBorder="1" applyAlignment="1">
      <alignment/>
    </xf>
    <xf numFmtId="167" fontId="153" fillId="0" borderId="64" xfId="0" applyNumberFormat="1" applyFont="1" applyFill="1" applyBorder="1" applyAlignment="1">
      <alignment/>
    </xf>
    <xf numFmtId="167" fontId="153" fillId="0" borderId="86" xfId="0" applyNumberFormat="1" applyFont="1" applyFill="1" applyBorder="1" applyAlignment="1">
      <alignment/>
    </xf>
    <xf numFmtId="167" fontId="153" fillId="0" borderId="87" xfId="0" applyNumberFormat="1" applyFont="1" applyFill="1" applyBorder="1" applyAlignment="1">
      <alignment/>
    </xf>
    <xf numFmtId="0" fontId="153" fillId="0" borderId="55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left" vertical="center"/>
    </xf>
    <xf numFmtId="0" fontId="153" fillId="0" borderId="46" xfId="0" applyFont="1" applyFill="1" applyBorder="1" applyAlignment="1">
      <alignment horizontal="left" vertical="center"/>
    </xf>
    <xf numFmtId="0" fontId="153" fillId="0" borderId="76" xfId="0" applyFont="1" applyFill="1" applyBorder="1" applyAlignment="1">
      <alignment horizontal="left" vertical="center"/>
    </xf>
    <xf numFmtId="0" fontId="23" fillId="0" borderId="76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left" vertical="center"/>
    </xf>
    <xf numFmtId="0" fontId="153" fillId="0" borderId="48" xfId="0" applyFont="1" applyFill="1" applyBorder="1" applyAlignment="1">
      <alignment horizontal="left" vertical="center"/>
    </xf>
    <xf numFmtId="0" fontId="153" fillId="0" borderId="22" xfId="0" applyFont="1" applyFill="1" applyBorder="1" applyAlignment="1">
      <alignment horizontal="left" vertical="center"/>
    </xf>
    <xf numFmtId="0" fontId="158" fillId="0" borderId="0" xfId="0" applyFont="1" applyFill="1" applyAlignment="1">
      <alignment/>
    </xf>
    <xf numFmtId="0" fontId="153" fillId="0" borderId="0" xfId="0" applyFont="1" applyFill="1" applyAlignment="1">
      <alignment/>
    </xf>
    <xf numFmtId="0" fontId="158" fillId="0" borderId="0" xfId="0" applyFont="1" applyFill="1" applyAlignment="1">
      <alignment horizontal="center"/>
    </xf>
    <xf numFmtId="0" fontId="153" fillId="0" borderId="0" xfId="0" applyFont="1" applyFill="1" applyAlignment="1">
      <alignment horizontal="center"/>
    </xf>
    <xf numFmtId="167" fontId="153" fillId="0" borderId="88" xfId="42" applyNumberFormat="1" applyFont="1" applyFill="1" applyBorder="1" applyAlignment="1">
      <alignment/>
    </xf>
    <xf numFmtId="167" fontId="153" fillId="0" borderId="89" xfId="42" applyNumberFormat="1" applyFont="1" applyFill="1" applyBorder="1" applyAlignment="1">
      <alignment/>
    </xf>
    <xf numFmtId="43" fontId="15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67" fontId="23" fillId="0" borderId="88" xfId="42" applyNumberFormat="1" applyFont="1" applyFill="1" applyBorder="1" applyAlignment="1">
      <alignment/>
    </xf>
    <xf numFmtId="167" fontId="23" fillId="0" borderId="89" xfId="42" applyNumberFormat="1" applyFont="1" applyFill="1" applyBorder="1" applyAlignment="1">
      <alignment/>
    </xf>
    <xf numFmtId="43" fontId="28" fillId="0" borderId="0" xfId="0" applyNumberFormat="1" applyFont="1" applyFill="1" applyAlignment="1">
      <alignment/>
    </xf>
    <xf numFmtId="167" fontId="153" fillId="0" borderId="81" xfId="42" applyNumberFormat="1" applyFont="1" applyFill="1" applyBorder="1" applyAlignment="1">
      <alignment/>
    </xf>
    <xf numFmtId="167" fontId="153" fillId="0" borderId="54" xfId="0" applyNumberFormat="1" applyFont="1" applyFill="1" applyBorder="1" applyAlignment="1">
      <alignment horizontal="center" vertical="center"/>
    </xf>
    <xf numFmtId="167" fontId="153" fillId="0" borderId="32" xfId="0" applyNumberFormat="1" applyFont="1" applyFill="1" applyBorder="1" applyAlignment="1">
      <alignment horizontal="center" vertical="center"/>
    </xf>
    <xf numFmtId="167" fontId="153" fillId="0" borderId="54" xfId="0" applyNumberFormat="1" applyFont="1" applyFill="1" applyBorder="1" applyAlignment="1">
      <alignment/>
    </xf>
    <xf numFmtId="167" fontId="153" fillId="0" borderId="32" xfId="0" applyNumberFormat="1" applyFont="1" applyFill="1" applyBorder="1" applyAlignment="1">
      <alignment/>
    </xf>
    <xf numFmtId="167" fontId="153" fillId="0" borderId="54" xfId="0" applyNumberFormat="1" applyFont="1" applyFill="1" applyBorder="1" applyAlignment="1">
      <alignment vertical="center"/>
    </xf>
    <xf numFmtId="167" fontId="153" fillId="0" borderId="54" xfId="0" applyNumberFormat="1" applyFont="1" applyFill="1" applyBorder="1" applyAlignment="1">
      <alignment horizontal="right" vertical="center"/>
    </xf>
    <xf numFmtId="167" fontId="153" fillId="0" borderId="32" xfId="0" applyNumberFormat="1" applyFont="1" applyFill="1" applyBorder="1" applyAlignment="1">
      <alignment horizontal="right" vertical="center"/>
    </xf>
    <xf numFmtId="167" fontId="153" fillId="0" borderId="32" xfId="0" applyNumberFormat="1" applyFont="1" applyFill="1" applyBorder="1" applyAlignment="1">
      <alignment vertical="center"/>
    </xf>
    <xf numFmtId="167" fontId="153" fillId="0" borderId="26" xfId="0" applyNumberFormat="1" applyFont="1" applyFill="1" applyBorder="1" applyAlignment="1">
      <alignment vertical="center"/>
    </xf>
    <xf numFmtId="167" fontId="153" fillId="0" borderId="90" xfId="42" applyNumberFormat="1" applyFont="1" applyFill="1" applyBorder="1" applyAlignment="1">
      <alignment/>
    </xf>
    <xf numFmtId="167" fontId="153" fillId="0" borderId="91" xfId="42" applyNumberFormat="1" applyFont="1" applyFill="1" applyBorder="1" applyAlignment="1">
      <alignment/>
    </xf>
    <xf numFmtId="167" fontId="153" fillId="0" borderId="23" xfId="0" applyNumberFormat="1" applyFont="1" applyFill="1" applyBorder="1" applyAlignment="1">
      <alignment horizontal="center" vertical="center"/>
    </xf>
    <xf numFmtId="167" fontId="153" fillId="0" borderId="11" xfId="0" applyNumberFormat="1" applyFont="1" applyFill="1" applyBorder="1" applyAlignment="1">
      <alignment horizontal="center" vertical="center"/>
    </xf>
    <xf numFmtId="167" fontId="153" fillId="0" borderId="23" xfId="0" applyNumberFormat="1" applyFont="1" applyFill="1" applyBorder="1" applyAlignment="1">
      <alignment/>
    </xf>
    <xf numFmtId="167" fontId="153" fillId="0" borderId="11" xfId="0" applyNumberFormat="1" applyFont="1" applyFill="1" applyBorder="1" applyAlignment="1">
      <alignment/>
    </xf>
    <xf numFmtId="167" fontId="153" fillId="0" borderId="23" xfId="0" applyNumberFormat="1" applyFont="1" applyFill="1" applyBorder="1" applyAlignment="1">
      <alignment vertical="center"/>
    </xf>
    <xf numFmtId="167" fontId="153" fillId="0" borderId="23" xfId="0" applyNumberFormat="1" applyFont="1" applyFill="1" applyBorder="1" applyAlignment="1">
      <alignment horizontal="right" vertical="center"/>
    </xf>
    <xf numFmtId="167" fontId="153" fillId="0" borderId="11" xfId="0" applyNumberFormat="1" applyFont="1" applyFill="1" applyBorder="1" applyAlignment="1">
      <alignment horizontal="right" vertical="center"/>
    </xf>
    <xf numFmtId="167" fontId="153" fillId="0" borderId="11" xfId="0" applyNumberFormat="1" applyFont="1" applyFill="1" applyBorder="1" applyAlignment="1">
      <alignment vertical="center"/>
    </xf>
    <xf numFmtId="167" fontId="153" fillId="0" borderId="33" xfId="0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 vertical="center"/>
    </xf>
    <xf numFmtId="167" fontId="153" fillId="0" borderId="11" xfId="42" applyNumberFormat="1" applyFont="1" applyFill="1" applyBorder="1" applyAlignment="1">
      <alignment vertical="center"/>
    </xf>
    <xf numFmtId="167" fontId="153" fillId="0" borderId="23" xfId="42" applyNumberFormat="1" applyFont="1" applyFill="1" applyBorder="1" applyAlignment="1">
      <alignment/>
    </xf>
    <xf numFmtId="167" fontId="153" fillId="0" borderId="11" xfId="42" applyNumberFormat="1" applyFont="1" applyFill="1" applyBorder="1" applyAlignment="1">
      <alignment/>
    </xf>
    <xf numFmtId="167" fontId="153" fillId="0" borderId="23" xfId="42" applyNumberFormat="1" applyFont="1" applyFill="1" applyBorder="1" applyAlignment="1">
      <alignment horizontal="right" vertical="center"/>
    </xf>
    <xf numFmtId="167" fontId="153" fillId="0" borderId="11" xfId="42" applyNumberFormat="1" applyFont="1" applyFill="1" applyBorder="1" applyAlignment="1">
      <alignment horizontal="right" vertical="center"/>
    </xf>
    <xf numFmtId="0" fontId="153" fillId="0" borderId="43" xfId="0" applyFont="1" applyFill="1" applyBorder="1" applyAlignment="1">
      <alignment horizontal="center" vertical="center" wrapText="1"/>
    </xf>
    <xf numFmtId="0" fontId="153" fillId="0" borderId="0" xfId="0" applyFont="1" applyFill="1" applyAlignment="1">
      <alignment horizontal="left" vertical="center"/>
    </xf>
    <xf numFmtId="43" fontId="187" fillId="0" borderId="0" xfId="42" applyFont="1" applyFill="1" applyAlignment="1">
      <alignment/>
    </xf>
    <xf numFmtId="43" fontId="153" fillId="0" borderId="0" xfId="42" applyFont="1" applyFill="1" applyAlignment="1">
      <alignment/>
    </xf>
    <xf numFmtId="0" fontId="188" fillId="0" borderId="0" xfId="0" applyFont="1" applyAlignment="1">
      <alignment/>
    </xf>
    <xf numFmtId="1" fontId="23" fillId="0" borderId="7" xfId="0" applyNumberFormat="1" applyFont="1" applyBorder="1" applyAlignment="1">
      <alignment horizontal="center" vertical="center"/>
    </xf>
    <xf numFmtId="0" fontId="189" fillId="0" borderId="7" xfId="0" applyFont="1" applyBorder="1" applyAlignment="1">
      <alignment horizontal="center"/>
    </xf>
    <xf numFmtId="167" fontId="27" fillId="0" borderId="7" xfId="42" applyNumberFormat="1" applyFont="1" applyFill="1" applyBorder="1" applyAlignment="1">
      <alignment/>
    </xf>
    <xf numFmtId="167" fontId="24" fillId="0" borderId="7" xfId="0" applyNumberFormat="1" applyFont="1" applyFill="1" applyBorder="1" applyAlignment="1">
      <alignment/>
    </xf>
    <xf numFmtId="2" fontId="27" fillId="0" borderId="7" xfId="42" applyNumberFormat="1" applyFont="1" applyFill="1" applyBorder="1" applyAlignment="1">
      <alignment/>
    </xf>
    <xf numFmtId="177" fontId="27" fillId="0" borderId="7" xfId="42" applyNumberFormat="1" applyFont="1" applyFill="1" applyBorder="1" applyAlignment="1">
      <alignment/>
    </xf>
    <xf numFmtId="167" fontId="27" fillId="0" borderId="7" xfId="42" applyNumberFormat="1" applyFont="1" applyFill="1" applyBorder="1" applyAlignment="1">
      <alignment horizontal="center" vertical="center"/>
    </xf>
    <xf numFmtId="43" fontId="27" fillId="0" borderId="7" xfId="42" applyNumberFormat="1" applyFont="1" applyFill="1" applyBorder="1" applyAlignment="1">
      <alignment/>
    </xf>
    <xf numFmtId="0" fontId="190" fillId="0" borderId="7" xfId="0" applyFont="1" applyBorder="1" applyAlignment="1">
      <alignment horizontal="left"/>
    </xf>
    <xf numFmtId="167" fontId="153" fillId="0" borderId="7" xfId="0" applyNumberFormat="1" applyFont="1" applyBorder="1" applyAlignment="1">
      <alignment/>
    </xf>
    <xf numFmtId="3" fontId="157" fillId="0" borderId="23" xfId="0" applyNumberFormat="1" applyFont="1" applyBorder="1" applyAlignment="1">
      <alignment vertical="center"/>
    </xf>
    <xf numFmtId="0" fontId="35" fillId="32" borderId="21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8" xfId="0" applyFont="1" applyFill="1" applyBorder="1" applyAlignment="1">
      <alignment vertical="center"/>
    </xf>
    <xf numFmtId="0" fontId="35" fillId="32" borderId="78" xfId="0" applyFont="1" applyFill="1" applyBorder="1" applyAlignment="1">
      <alignment vertical="center"/>
    </xf>
    <xf numFmtId="4" fontId="35" fillId="0" borderId="7" xfId="0" applyNumberFormat="1" applyFont="1" applyBorder="1" applyAlignment="1">
      <alignment vertical="center"/>
    </xf>
    <xf numFmtId="4" fontId="35" fillId="32" borderId="7" xfId="0" applyNumberFormat="1" applyFont="1" applyFill="1" applyBorder="1" applyAlignment="1">
      <alignment vertical="center"/>
    </xf>
    <xf numFmtId="4" fontId="35" fillId="32" borderId="13" xfId="0" applyNumberFormat="1" applyFont="1" applyFill="1" applyBorder="1" applyAlignment="1">
      <alignment vertical="center"/>
    </xf>
    <xf numFmtId="17" fontId="6" fillId="0" borderId="26" xfId="0" applyNumberFormat="1" applyFont="1" applyFill="1" applyBorder="1" applyAlignment="1">
      <alignment horizontal="center" vertical="center" wrapText="1"/>
    </xf>
    <xf numFmtId="17" fontId="6" fillId="0" borderId="27" xfId="0" applyNumberFormat="1" applyFont="1" applyFill="1" applyBorder="1" applyAlignment="1">
      <alignment horizontal="center" vertical="center" wrapText="1"/>
    </xf>
    <xf numFmtId="3" fontId="158" fillId="0" borderId="0" xfId="0" applyNumberFormat="1" applyFont="1" applyAlignment="1">
      <alignment/>
    </xf>
    <xf numFmtId="0" fontId="153" fillId="0" borderId="7" xfId="0" applyFont="1" applyBorder="1" applyAlignment="1">
      <alignment horizontal="center" vertical="center"/>
    </xf>
    <xf numFmtId="0" fontId="158" fillId="0" borderId="7" xfId="0" applyFont="1" applyBorder="1" applyAlignment="1">
      <alignment horizontal="center" vertical="center"/>
    </xf>
    <xf numFmtId="37" fontId="158" fillId="0" borderId="7" xfId="42" applyNumberFormat="1" applyFont="1" applyFill="1" applyBorder="1" applyAlignment="1">
      <alignment horizontal="right" vertical="center"/>
    </xf>
    <xf numFmtId="37" fontId="158" fillId="0" borderId="7" xfId="42" applyNumberFormat="1" applyFont="1" applyBorder="1" applyAlignment="1">
      <alignment horizontal="right" vertical="center"/>
    </xf>
    <xf numFmtId="0" fontId="158" fillId="0" borderId="17" xfId="0" applyFont="1" applyBorder="1" applyAlignment="1">
      <alignment horizontal="center" vertical="center"/>
    </xf>
    <xf numFmtId="37" fontId="158" fillId="0" borderId="7" xfId="0" applyNumberFormat="1" applyFont="1" applyFill="1" applyBorder="1" applyAlignment="1">
      <alignment/>
    </xf>
    <xf numFmtId="37" fontId="158" fillId="0" borderId="7" xfId="0" applyNumberFormat="1" applyFont="1" applyBorder="1" applyAlignment="1">
      <alignment/>
    </xf>
    <xf numFmtId="0" fontId="158" fillId="0" borderId="29" xfId="0" applyFont="1" applyBorder="1" applyAlignment="1">
      <alignment horizontal="center" vertical="center"/>
    </xf>
    <xf numFmtId="0" fontId="23" fillId="39" borderId="7" xfId="0" applyFont="1" applyFill="1" applyBorder="1" applyAlignment="1">
      <alignment horizontal="center" vertical="center"/>
    </xf>
    <xf numFmtId="37" fontId="23" fillId="39" borderId="7" xfId="42" applyNumberFormat="1" applyFont="1" applyFill="1" applyBorder="1" applyAlignment="1">
      <alignment horizontal="center" vertical="center"/>
    </xf>
    <xf numFmtId="0" fontId="158" fillId="0" borderId="0" xfId="0" applyFont="1" applyAlignment="1">
      <alignment/>
    </xf>
    <xf numFmtId="165" fontId="158" fillId="0" borderId="0" xfId="0" applyNumberFormat="1" applyFont="1" applyAlignment="1">
      <alignment/>
    </xf>
    <xf numFmtId="0" fontId="23" fillId="0" borderId="7" xfId="79" applyFont="1" applyFill="1" applyBorder="1" applyAlignment="1">
      <alignment horizontal="center" vertical="center"/>
      <protection/>
    </xf>
    <xf numFmtId="43" fontId="153" fillId="0" borderId="7" xfId="42" applyFont="1" applyBorder="1" applyAlignment="1">
      <alignment horizontal="center" vertical="center"/>
    </xf>
    <xf numFmtId="0" fontId="28" fillId="0" borderId="7" xfId="79" applyFont="1" applyBorder="1" applyAlignment="1">
      <alignment horizontal="left" vertical="center"/>
      <protection/>
    </xf>
    <xf numFmtId="3" fontId="158" fillId="0" borderId="7" xfId="42" applyNumberFormat="1" applyFont="1" applyBorder="1" applyAlignment="1">
      <alignment/>
    </xf>
    <xf numFmtId="0" fontId="158" fillId="0" borderId="7" xfId="0" applyFont="1" applyBorder="1" applyAlignment="1">
      <alignment horizontal="left" vertical="center" wrapText="1"/>
    </xf>
    <xf numFmtId="0" fontId="28" fillId="0" borderId="17" xfId="79" applyFont="1" applyBorder="1" applyAlignment="1">
      <alignment horizontal="left" vertical="center"/>
      <protection/>
    </xf>
    <xf numFmtId="0" fontId="153" fillId="45" borderId="7" xfId="0" applyFont="1" applyFill="1" applyBorder="1" applyAlignment="1">
      <alignment horizontal="center" vertical="center"/>
    </xf>
    <xf numFmtId="3" fontId="153" fillId="45" borderId="7" xfId="42" applyNumberFormat="1" applyFont="1" applyFill="1" applyBorder="1" applyAlignment="1">
      <alignment horizontal="center" vertical="center"/>
    </xf>
    <xf numFmtId="3" fontId="23" fillId="0" borderId="7" xfId="79" applyNumberFormat="1" applyFont="1" applyFill="1" applyBorder="1" applyAlignment="1">
      <alignment horizontal="center" vertical="center"/>
      <protection/>
    </xf>
    <xf numFmtId="3" fontId="153" fillId="0" borderId="7" xfId="42" applyNumberFormat="1" applyFont="1" applyBorder="1" applyAlignment="1">
      <alignment horizontal="center" vertical="center"/>
    </xf>
    <xf numFmtId="0" fontId="158" fillId="0" borderId="7" xfId="0" applyFont="1" applyFill="1" applyBorder="1" applyAlignment="1">
      <alignment/>
    </xf>
    <xf numFmtId="3" fontId="158" fillId="0" borderId="7" xfId="0" applyNumberFormat="1" applyFont="1" applyFill="1" applyBorder="1" applyAlignment="1">
      <alignment/>
    </xf>
    <xf numFmtId="3" fontId="158" fillId="0" borderId="7" xfId="42" applyNumberFormat="1" applyFont="1" applyFill="1" applyBorder="1" applyAlignment="1">
      <alignment/>
    </xf>
    <xf numFmtId="0" fontId="158" fillId="0" borderId="7" xfId="0" applyFont="1" applyBorder="1" applyAlignment="1">
      <alignment/>
    </xf>
    <xf numFmtId="3" fontId="28" fillId="0" borderId="7" xfId="79" applyNumberFormat="1" applyFont="1" applyFill="1" applyBorder="1" applyAlignment="1">
      <alignment horizontal="center" vertical="center"/>
      <protection/>
    </xf>
    <xf numFmtId="3" fontId="28" fillId="0" borderId="7" xfId="42" applyNumberFormat="1" applyFont="1" applyFill="1" applyBorder="1" applyAlignment="1">
      <alignment horizontal="center" vertical="center"/>
    </xf>
    <xf numFmtId="3" fontId="28" fillId="0" borderId="17" xfId="79" applyNumberFormat="1" applyFont="1" applyFill="1" applyBorder="1" applyAlignment="1">
      <alignment horizontal="center" vertical="center"/>
      <protection/>
    </xf>
    <xf numFmtId="3" fontId="28" fillId="0" borderId="17" xfId="42" applyNumberFormat="1" applyFont="1" applyFill="1" applyBorder="1" applyAlignment="1">
      <alignment horizontal="center" vertical="center"/>
    </xf>
    <xf numFmtId="3" fontId="28" fillId="0" borderId="0" xfId="79" applyNumberFormat="1" applyFont="1" applyFill="1" applyBorder="1" applyAlignment="1">
      <alignment horizontal="center" vertical="center"/>
      <protection/>
    </xf>
    <xf numFmtId="0" fontId="156" fillId="0" borderId="17" xfId="0" applyFont="1" applyBorder="1" applyAlignment="1">
      <alignment vertical="center"/>
    </xf>
    <xf numFmtId="0" fontId="37" fillId="45" borderId="7" xfId="0" applyFont="1" applyFill="1" applyBorder="1" applyAlignment="1">
      <alignment horizontal="left" vertical="center" wrapText="1"/>
    </xf>
    <xf numFmtId="170" fontId="35" fillId="45" borderId="7" xfId="0" applyNumberFormat="1" applyFont="1" applyFill="1" applyBorder="1" applyAlignment="1">
      <alignment horizontal="right" vertical="center" wrapText="1"/>
    </xf>
    <xf numFmtId="0" fontId="37" fillId="45" borderId="7" xfId="0" applyFont="1" applyFill="1" applyBorder="1" applyAlignment="1">
      <alignment horizontal="right" vertical="center"/>
    </xf>
    <xf numFmtId="1" fontId="37" fillId="45" borderId="7" xfId="0" applyNumberFormat="1" applyFont="1" applyFill="1" applyBorder="1" applyAlignment="1">
      <alignment/>
    </xf>
    <xf numFmtId="167" fontId="35" fillId="45" borderId="17" xfId="0" applyNumberFormat="1" applyFont="1" applyFill="1" applyBorder="1" applyAlignment="1">
      <alignment/>
    </xf>
    <xf numFmtId="39" fontId="158" fillId="0" borderId="7" xfId="42" applyNumberFormat="1" applyFont="1" applyBorder="1" applyAlignment="1">
      <alignment horizontal="center" vertical="center"/>
    </xf>
    <xf numFmtId="39" fontId="158" fillId="0" borderId="7" xfId="0" applyNumberFormat="1" applyFont="1" applyFill="1" applyBorder="1" applyAlignment="1">
      <alignment/>
    </xf>
    <xf numFmtId="39" fontId="23" fillId="39" borderId="7" xfId="42" applyNumberFormat="1" applyFont="1" applyFill="1" applyBorder="1" applyAlignment="1">
      <alignment horizontal="center" vertical="center"/>
    </xf>
    <xf numFmtId="0" fontId="91" fillId="39" borderId="7" xfId="0" applyFont="1" applyFill="1" applyBorder="1" applyAlignment="1">
      <alignment horizontal="left"/>
    </xf>
    <xf numFmtId="167" fontId="27" fillId="39" borderId="7" xfId="42" applyNumberFormat="1" applyFont="1" applyFill="1" applyBorder="1" applyAlignment="1">
      <alignment/>
    </xf>
    <xf numFmtId="167" fontId="24" fillId="39" borderId="7" xfId="0" applyNumberFormat="1" applyFont="1" applyFill="1" applyBorder="1" applyAlignment="1">
      <alignment/>
    </xf>
    <xf numFmtId="0" fontId="91" fillId="0" borderId="7" xfId="0" applyFont="1" applyFill="1" applyBorder="1" applyAlignment="1">
      <alignment horizontal="left"/>
    </xf>
    <xf numFmtId="0" fontId="14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5" fillId="39" borderId="7" xfId="0" applyFont="1" applyFill="1" applyBorder="1" applyAlignment="1">
      <alignment horizontal="center" vertical="center"/>
    </xf>
    <xf numFmtId="0" fontId="78" fillId="0" borderId="7" xfId="79" applyFont="1" applyFill="1" applyBorder="1" applyAlignment="1">
      <alignment horizontal="center" vertical="center"/>
      <protection/>
    </xf>
    <xf numFmtId="43" fontId="142" fillId="0" borderId="7" xfId="42" applyFont="1" applyBorder="1" applyAlignment="1">
      <alignment horizontal="center" vertical="center"/>
    </xf>
    <xf numFmtId="0" fontId="46" fillId="0" borderId="35" xfId="79" applyFont="1" applyFill="1" applyBorder="1" applyAlignment="1">
      <alignment horizontal="left" vertical="center"/>
      <protection/>
    </xf>
    <xf numFmtId="0" fontId="0" fillId="0" borderId="7" xfId="0" applyFill="1" applyBorder="1" applyAlignment="1">
      <alignment/>
    </xf>
    <xf numFmtId="43" fontId="0" fillId="0" borderId="7" xfId="42" applyFont="1" applyFill="1" applyBorder="1" applyAlignment="1">
      <alignment/>
    </xf>
    <xf numFmtId="43" fontId="0" fillId="0" borderId="7" xfId="42" applyNumberFormat="1" applyFont="1" applyFill="1" applyBorder="1" applyAlignment="1">
      <alignment/>
    </xf>
    <xf numFmtId="0" fontId="142" fillId="45" borderId="7" xfId="0" applyFont="1" applyFill="1" applyBorder="1" applyAlignment="1">
      <alignment horizontal="center" vertical="center"/>
    </xf>
    <xf numFmtId="43" fontId="142" fillId="45" borderId="7" xfId="42" applyFont="1" applyFill="1" applyBorder="1" applyAlignment="1">
      <alignment horizontal="center" vertical="center"/>
    </xf>
    <xf numFmtId="0" fontId="46" fillId="0" borderId="35" xfId="79" applyFont="1" applyFill="1" applyBorder="1" applyAlignment="1">
      <alignment horizontal="left" vertical="center" wrapText="1"/>
      <protection/>
    </xf>
    <xf numFmtId="0" fontId="46" fillId="0" borderId="17" xfId="79" applyFont="1" applyFill="1" applyBorder="1" applyAlignment="1">
      <alignment vertical="center" wrapText="1"/>
      <protection/>
    </xf>
    <xf numFmtId="0" fontId="46" fillId="0" borderId="35" xfId="79" applyFont="1" applyFill="1" applyBorder="1" applyAlignment="1">
      <alignment vertical="center" wrapText="1"/>
      <protection/>
    </xf>
    <xf numFmtId="0" fontId="46" fillId="0" borderId="7" xfId="79" applyFont="1" applyFill="1" applyBorder="1" applyAlignment="1">
      <alignment horizontal="left" vertical="center" wrapText="1"/>
      <protection/>
    </xf>
    <xf numFmtId="0" fontId="46" fillId="0" borderId="7" xfId="79" applyFont="1" applyFill="1" applyBorder="1" applyAlignment="1">
      <alignment vertical="center" wrapText="1"/>
      <protection/>
    </xf>
    <xf numFmtId="167" fontId="0" fillId="0" borderId="7" xfId="42" applyNumberFormat="1" applyFont="1" applyFill="1" applyBorder="1" applyAlignment="1">
      <alignment horizontal="center" vertical="center"/>
    </xf>
    <xf numFmtId="167" fontId="0" fillId="0" borderId="7" xfId="42" applyNumberFormat="1" applyFont="1" applyBorder="1" applyAlignment="1">
      <alignment horizontal="center" vertical="center"/>
    </xf>
    <xf numFmtId="167" fontId="46" fillId="0" borderId="17" xfId="42" applyNumberFormat="1" applyFont="1" applyFill="1" applyBorder="1" applyAlignment="1">
      <alignment horizontal="center" vertical="center"/>
    </xf>
    <xf numFmtId="167" fontId="45" fillId="39" borderId="7" xfId="42" applyNumberFormat="1" applyFont="1" applyFill="1" applyBorder="1" applyAlignment="1">
      <alignment horizontal="center" vertical="center"/>
    </xf>
    <xf numFmtId="4" fontId="153" fillId="45" borderId="7" xfId="42" applyNumberFormat="1" applyFont="1" applyFill="1" applyBorder="1" applyAlignment="1">
      <alignment horizontal="center" vertical="center"/>
    </xf>
    <xf numFmtId="0" fontId="142" fillId="0" borderId="7" xfId="0" applyFont="1" applyBorder="1" applyAlignment="1">
      <alignment vertical="center"/>
    </xf>
    <xf numFmtId="0" fontId="45" fillId="39" borderId="33" xfId="0" applyFont="1" applyFill="1" applyBorder="1" applyAlignment="1">
      <alignment horizontal="center" vertical="center"/>
    </xf>
    <xf numFmtId="0" fontId="156" fillId="0" borderId="92" xfId="0" applyFont="1" applyBorder="1" applyAlignment="1">
      <alignment horizontal="center" vertical="center"/>
    </xf>
    <xf numFmtId="43" fontId="156" fillId="0" borderId="92" xfId="0" applyNumberFormat="1" applyFont="1" applyFill="1" applyBorder="1" applyAlignment="1">
      <alignment/>
    </xf>
    <xf numFmtId="43" fontId="156" fillId="0" borderId="92" xfId="0" applyNumberFormat="1" applyFont="1" applyBorder="1" applyAlignment="1">
      <alignment/>
    </xf>
    <xf numFmtId="0" fontId="156" fillId="0" borderId="93" xfId="0" applyFont="1" applyBorder="1" applyAlignment="1">
      <alignment horizontal="center" vertical="center"/>
    </xf>
    <xf numFmtId="43" fontId="156" fillId="0" borderId="93" xfId="0" applyNumberFormat="1" applyFont="1" applyBorder="1" applyAlignment="1">
      <alignment/>
    </xf>
    <xf numFmtId="43" fontId="156" fillId="0" borderId="93" xfId="0" applyNumberFormat="1" applyFont="1" applyFill="1" applyBorder="1" applyAlignment="1">
      <alignment/>
    </xf>
    <xf numFmtId="0" fontId="35" fillId="39" borderId="92" xfId="0" applyFont="1" applyFill="1" applyBorder="1" applyAlignment="1">
      <alignment horizontal="center" vertical="center"/>
    </xf>
    <xf numFmtId="43" fontId="35" fillId="39" borderId="92" xfId="42" applyFont="1" applyFill="1" applyBorder="1" applyAlignment="1">
      <alignment horizontal="center" vertical="center"/>
    </xf>
    <xf numFmtId="0" fontId="35" fillId="39" borderId="93" xfId="0" applyFont="1" applyFill="1" applyBorder="1" applyAlignment="1">
      <alignment horizontal="center" vertical="center"/>
    </xf>
    <xf numFmtId="43" fontId="35" fillId="39" borderId="93" xfId="42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4" fillId="0" borderId="28" xfId="42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horizontal="center"/>
    </xf>
    <xf numFmtId="0" fontId="11" fillId="0" borderId="28" xfId="0" applyNumberFormat="1" applyFont="1" applyFill="1" applyBorder="1" applyAlignment="1">
      <alignment horizontal="center"/>
    </xf>
    <xf numFmtId="0" fontId="156" fillId="0" borderId="0" xfId="0" applyFont="1" applyBorder="1" applyAlignment="1">
      <alignment/>
    </xf>
    <xf numFmtId="0" fontId="183" fillId="0" borderId="16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156" fillId="0" borderId="7" xfId="0" applyFont="1" applyFill="1" applyBorder="1" applyAlignment="1">
      <alignment horizontal="left" vertical="center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78" fillId="0" borderId="0" xfId="0" applyFont="1" applyAlignment="1">
      <alignment/>
    </xf>
    <xf numFmtId="0" fontId="191" fillId="0" borderId="0" xfId="0" applyFont="1" applyAlignment="1">
      <alignment/>
    </xf>
    <xf numFmtId="0" fontId="174" fillId="0" borderId="0" xfId="0" applyFont="1" applyFill="1" applyBorder="1" applyAlignment="1">
      <alignment/>
    </xf>
    <xf numFmtId="0" fontId="174" fillId="0" borderId="0" xfId="0" applyFont="1" applyFill="1" applyBorder="1" applyAlignment="1">
      <alignment horizontal="right"/>
    </xf>
    <xf numFmtId="0" fontId="178" fillId="0" borderId="0" xfId="0" applyFont="1" applyFill="1" applyBorder="1" applyAlignment="1">
      <alignment horizontal="center" vertical="center"/>
    </xf>
    <xf numFmtId="167" fontId="157" fillId="0" borderId="7" xfId="42" applyNumberFormat="1" applyFont="1" applyFill="1" applyBorder="1" applyAlignment="1">
      <alignment/>
    </xf>
    <xf numFmtId="3" fontId="142" fillId="41" borderId="7" xfId="0" applyNumberFormat="1" applyFont="1" applyFill="1" applyBorder="1" applyAlignment="1">
      <alignment/>
    </xf>
    <xf numFmtId="3" fontId="93" fillId="0" borderId="7" xfId="83" applyNumberFormat="1" applyFont="1" applyBorder="1">
      <alignment/>
      <protection/>
    </xf>
    <xf numFmtId="167" fontId="142" fillId="0" borderId="7" xfId="0" applyNumberFormat="1" applyFont="1" applyFill="1" applyBorder="1" applyAlignment="1">
      <alignment/>
    </xf>
    <xf numFmtId="167" fontId="156" fillId="0" borderId="0" xfId="0" applyNumberFormat="1" applyFont="1" applyFill="1" applyAlignment="1">
      <alignment/>
    </xf>
    <xf numFmtId="167" fontId="142" fillId="0" borderId="0" xfId="0" applyNumberFormat="1" applyFont="1" applyFill="1" applyBorder="1" applyAlignment="1">
      <alignment/>
    </xf>
    <xf numFmtId="167" fontId="156" fillId="0" borderId="7" xfId="0" applyNumberFormat="1" applyFont="1" applyFill="1" applyBorder="1" applyAlignment="1">
      <alignment/>
    </xf>
    <xf numFmtId="0" fontId="156" fillId="0" borderId="23" xfId="0" applyFont="1" applyFill="1" applyBorder="1" applyAlignment="1">
      <alignment horizontal="left" vertical="center" wrapText="1"/>
    </xf>
    <xf numFmtId="3" fontId="48" fillId="0" borderId="7" xfId="42" applyNumberFormat="1" applyFont="1" applyFill="1" applyBorder="1" applyAlignment="1">
      <alignment horizontal="center" vertical="center" textRotation="90" wrapText="1"/>
    </xf>
    <xf numFmtId="3" fontId="48" fillId="4" borderId="7" xfId="0" applyNumberFormat="1" applyFont="1" applyFill="1" applyBorder="1" applyAlignment="1">
      <alignment horizontal="center" vertical="center" textRotation="90" wrapText="1"/>
    </xf>
    <xf numFmtId="3" fontId="48" fillId="0" borderId="7" xfId="42" applyNumberFormat="1" applyFont="1" applyFill="1" applyBorder="1" applyAlignment="1">
      <alignment horizontal="center" vertical="center" textRotation="90"/>
    </xf>
    <xf numFmtId="3" fontId="48" fillId="0" borderId="7" xfId="0" applyNumberFormat="1" applyFont="1" applyFill="1" applyBorder="1" applyAlignment="1">
      <alignment horizontal="center" vertical="center" textRotation="90" wrapText="1"/>
    </xf>
    <xf numFmtId="167" fontId="192" fillId="38" borderId="15" xfId="42" applyNumberFormat="1" applyFont="1" applyFill="1" applyBorder="1" applyAlignment="1">
      <alignment horizontal="center" vertical="center" textRotation="90"/>
    </xf>
    <xf numFmtId="167" fontId="193" fillId="0" borderId="7" xfId="42" applyNumberFormat="1" applyFont="1" applyFill="1" applyBorder="1" applyAlignment="1">
      <alignment horizontal="center" vertical="center" textRotation="90"/>
    </xf>
    <xf numFmtId="167" fontId="192" fillId="0" borderId="7" xfId="42" applyNumberFormat="1" applyFont="1" applyFill="1" applyBorder="1" applyAlignment="1">
      <alignment horizontal="center" vertical="center" textRotation="90"/>
    </xf>
    <xf numFmtId="0" fontId="35" fillId="0" borderId="7" xfId="0" applyFont="1" applyFill="1" applyBorder="1" applyAlignment="1">
      <alignment horizontal="center" vertical="center" wrapText="1"/>
    </xf>
    <xf numFmtId="3" fontId="34" fillId="0" borderId="33" xfId="0" applyNumberFormat="1" applyFont="1" applyFill="1" applyBorder="1" applyAlignment="1">
      <alignment/>
    </xf>
    <xf numFmtId="3" fontId="34" fillId="38" borderId="28" xfId="0" applyNumberFormat="1" applyFont="1" applyFill="1" applyBorder="1" applyAlignment="1">
      <alignment horizontal="center"/>
    </xf>
    <xf numFmtId="0" fontId="30" fillId="0" borderId="16" xfId="0" applyFont="1" applyBorder="1" applyAlignment="1">
      <alignment horizontal="left"/>
    </xf>
    <xf numFmtId="166" fontId="30" fillId="0" borderId="7" xfId="59" applyNumberFormat="1" applyFont="1" applyFill="1" applyBorder="1" applyAlignment="1">
      <alignment horizontal="center" vertical="center"/>
    </xf>
    <xf numFmtId="166" fontId="31" fillId="19" borderId="12" xfId="59" applyNumberFormat="1" applyFont="1" applyFill="1" applyBorder="1" applyAlignment="1">
      <alignment horizontal="center" vertical="center"/>
    </xf>
    <xf numFmtId="3" fontId="53" fillId="0" borderId="7" xfId="0" applyNumberFormat="1" applyFont="1" applyBorder="1" applyAlignment="1">
      <alignment vertical="center"/>
    </xf>
    <xf numFmtId="167" fontId="53" fillId="0" borderId="7" xfId="0" applyNumberFormat="1" applyFont="1" applyBorder="1" applyAlignment="1">
      <alignment/>
    </xf>
    <xf numFmtId="167" fontId="186" fillId="0" borderId="7" xfId="0" applyNumberFormat="1" applyFont="1" applyBorder="1" applyAlignment="1">
      <alignment textRotation="90"/>
    </xf>
    <xf numFmtId="167" fontId="186" fillId="0" borderId="17" xfId="0" applyNumberFormat="1" applyFont="1" applyBorder="1" applyAlignment="1">
      <alignment textRotation="90"/>
    </xf>
    <xf numFmtId="167" fontId="53" fillId="0" borderId="25" xfId="0" applyNumberFormat="1" applyFont="1" applyBorder="1" applyAlignment="1">
      <alignment textRotation="90"/>
    </xf>
    <xf numFmtId="167" fontId="144" fillId="38" borderId="7" xfId="42" applyNumberFormat="1" applyFont="1" applyFill="1" applyBorder="1" applyAlignment="1">
      <alignment/>
    </xf>
    <xf numFmtId="2" fontId="144" fillId="0" borderId="7" xfId="0" applyNumberFormat="1" applyFont="1" applyFill="1" applyBorder="1" applyAlignment="1">
      <alignment/>
    </xf>
    <xf numFmtId="1" fontId="54" fillId="0" borderId="59" xfId="0" applyNumberFormat="1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left" vertical="center" wrapText="1"/>
    </xf>
    <xf numFmtId="167" fontId="36" fillId="0" borderId="7" xfId="42" applyNumberFormat="1" applyFont="1" applyFill="1" applyBorder="1" applyAlignment="1">
      <alignment/>
    </xf>
    <xf numFmtId="167" fontId="57" fillId="0" borderId="7" xfId="42" applyNumberFormat="1" applyFont="1" applyFill="1" applyBorder="1" applyAlignment="1">
      <alignment horizontal="right" vertical="center"/>
    </xf>
    <xf numFmtId="167" fontId="55" fillId="0" borderId="7" xfId="42" applyNumberFormat="1" applyFont="1" applyFill="1" applyBorder="1" applyAlignment="1">
      <alignment vertical="center"/>
    </xf>
    <xf numFmtId="167" fontId="55" fillId="0" borderId="7" xfId="0" applyNumberFormat="1" applyFont="1" applyFill="1" applyBorder="1" applyAlignment="1">
      <alignment horizontal="center" vertical="center"/>
    </xf>
    <xf numFmtId="37" fontId="167" fillId="0" borderId="7" xfId="0" applyNumberFormat="1" applyFont="1" applyFill="1" applyBorder="1" applyAlignment="1">
      <alignment horizontal="right" vertical="center"/>
    </xf>
    <xf numFmtId="167" fontId="55" fillId="0" borderId="7" xfId="0" applyNumberFormat="1" applyFont="1" applyFill="1" applyBorder="1" applyAlignment="1">
      <alignment/>
    </xf>
    <xf numFmtId="167" fontId="167" fillId="0" borderId="7" xfId="0" applyNumberFormat="1" applyFont="1" applyFill="1" applyBorder="1" applyAlignment="1">
      <alignment/>
    </xf>
    <xf numFmtId="37" fontId="167" fillId="0" borderId="7" xfId="0" applyNumberFormat="1" applyFont="1" applyFill="1" applyBorder="1" applyAlignment="1">
      <alignment/>
    </xf>
    <xf numFmtId="167" fontId="57" fillId="0" borderId="7" xfId="0" applyNumberFormat="1" applyFont="1" applyFill="1" applyBorder="1" applyAlignment="1">
      <alignment/>
    </xf>
    <xf numFmtId="1" fontId="57" fillId="0" borderId="7" xfId="0" applyNumberFormat="1" applyFont="1" applyFill="1" applyBorder="1" applyAlignment="1">
      <alignment/>
    </xf>
    <xf numFmtId="3" fontId="167" fillId="0" borderId="7" xfId="0" applyNumberFormat="1" applyFont="1" applyFill="1" applyBorder="1" applyAlignment="1">
      <alignment/>
    </xf>
    <xf numFmtId="3" fontId="57" fillId="0" borderId="7" xfId="0" applyNumberFormat="1" applyFont="1" applyFill="1" applyBorder="1" applyAlignment="1">
      <alignment horizontal="right" vertical="center"/>
    </xf>
    <xf numFmtId="37" fontId="10" fillId="0" borderId="7" xfId="42" applyNumberFormat="1" applyFont="1" applyFill="1" applyBorder="1" applyAlignment="1">
      <alignment/>
    </xf>
    <xf numFmtId="3" fontId="35" fillId="0" borderId="12" xfId="0" applyNumberFormat="1" applyFont="1" applyFill="1" applyBorder="1" applyAlignment="1">
      <alignment horizontal="right" vertical="center"/>
    </xf>
    <xf numFmtId="3" fontId="35" fillId="0" borderId="13" xfId="0" applyNumberFormat="1" applyFont="1" applyFill="1" applyBorder="1" applyAlignment="1">
      <alignment horizontal="right" vertical="center"/>
    </xf>
    <xf numFmtId="0" fontId="156" fillId="0" borderId="7" xfId="0" applyFont="1" applyFill="1" applyBorder="1" applyAlignment="1">
      <alignment horizontal="left" vertical="center" wrapText="1"/>
    </xf>
    <xf numFmtId="170" fontId="156" fillId="33" borderId="7" xfId="0" applyNumberFormat="1" applyFont="1" applyFill="1" applyBorder="1" applyAlignment="1">
      <alignment horizontal="right" vertical="center" wrapText="1"/>
    </xf>
    <xf numFmtId="0" fontId="156" fillId="33" borderId="7" xfId="0" applyFont="1" applyFill="1" applyBorder="1" applyAlignment="1">
      <alignment vertical="center" wrapText="1"/>
    </xf>
    <xf numFmtId="3" fontId="37" fillId="33" borderId="33" xfId="78" applyNumberFormat="1" applyFont="1" applyFill="1" applyBorder="1" applyAlignment="1">
      <alignment horizontal="right"/>
      <protection/>
    </xf>
    <xf numFmtId="37" fontId="155" fillId="33" borderId="7" xfId="0" applyNumberFormat="1" applyFont="1" applyFill="1" applyBorder="1" applyAlignment="1">
      <alignment/>
    </xf>
    <xf numFmtId="167" fontId="155" fillId="33" borderId="33" xfId="0" applyNumberFormat="1" applyFont="1" applyFill="1" applyBorder="1" applyAlignment="1">
      <alignment/>
    </xf>
    <xf numFmtId="167" fontId="23" fillId="33" borderId="33" xfId="0" applyNumberFormat="1" applyFont="1" applyFill="1" applyBorder="1" applyAlignment="1">
      <alignment/>
    </xf>
    <xf numFmtId="0" fontId="37" fillId="40" borderId="39" xfId="0" applyFont="1" applyFill="1" applyBorder="1" applyAlignment="1">
      <alignment vertical="top"/>
    </xf>
    <xf numFmtId="0" fontId="157" fillId="40" borderId="7" xfId="0" applyFont="1" applyFill="1" applyBorder="1" applyAlignment="1">
      <alignment horizontal="right" vertical="center"/>
    </xf>
    <xf numFmtId="0" fontId="156" fillId="40" borderId="23" xfId="0" applyFont="1" applyFill="1" applyBorder="1" applyAlignment="1">
      <alignment horizontal="left" vertical="center"/>
    </xf>
    <xf numFmtId="0" fontId="37" fillId="40" borderId="33" xfId="0" applyFont="1" applyFill="1" applyBorder="1" applyAlignment="1">
      <alignment horizontal="right" vertical="center"/>
    </xf>
    <xf numFmtId="167" fontId="0" fillId="40" borderId="7" xfId="0" applyNumberFormat="1" applyFill="1" applyBorder="1" applyAlignment="1">
      <alignment/>
    </xf>
    <xf numFmtId="167" fontId="142" fillId="40" borderId="7" xfId="0" applyNumberFormat="1" applyFont="1" applyFill="1" applyBorder="1" applyAlignment="1">
      <alignment/>
    </xf>
    <xf numFmtId="3" fontId="156" fillId="40" borderId="7" xfId="0" applyNumberFormat="1" applyFont="1" applyFill="1" applyBorder="1" applyAlignment="1">
      <alignment horizontal="center"/>
    </xf>
    <xf numFmtId="167" fontId="142" fillId="46" borderId="7" xfId="0" applyNumberFormat="1" applyFont="1" applyFill="1" applyBorder="1" applyAlignment="1">
      <alignment/>
    </xf>
    <xf numFmtId="167" fontId="55" fillId="0" borderId="33" xfId="42" applyNumberFormat="1" applyFont="1" applyBorder="1" applyAlignment="1">
      <alignment/>
    </xf>
    <xf numFmtId="167" fontId="35" fillId="0" borderId="23" xfId="0" applyNumberFormat="1" applyFont="1" applyFill="1" applyBorder="1" applyAlignment="1">
      <alignment/>
    </xf>
    <xf numFmtId="167" fontId="34" fillId="0" borderId="43" xfId="0" applyNumberFormat="1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2" fontId="33" fillId="0" borderId="51" xfId="0" applyNumberFormat="1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2" fontId="33" fillId="0" borderId="15" xfId="0" applyNumberFormat="1" applyFont="1" applyFill="1" applyBorder="1" applyAlignment="1">
      <alignment horizontal="center" vertical="center"/>
    </xf>
    <xf numFmtId="2" fontId="33" fillId="0" borderId="7" xfId="0" applyNumberFormat="1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2" fontId="33" fillId="0" borderId="12" xfId="0" applyNumberFormat="1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2" fontId="33" fillId="0" borderId="56" xfId="0" applyNumberFormat="1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96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85" xfId="0" applyFont="1" applyFill="1" applyBorder="1" applyAlignment="1">
      <alignment horizontal="center" vertical="center"/>
    </xf>
    <xf numFmtId="0" fontId="33" fillId="3" borderId="43" xfId="0" applyFont="1" applyFill="1" applyBorder="1" applyAlignment="1">
      <alignment horizontal="center" vertical="center"/>
    </xf>
    <xf numFmtId="0" fontId="33" fillId="3" borderId="41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67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3" fontId="152" fillId="0" borderId="0" xfId="0" applyNumberFormat="1" applyFont="1" applyFill="1" applyBorder="1" applyAlignment="1">
      <alignment horizontal="center" vertical="center" wrapText="1"/>
    </xf>
    <xf numFmtId="3" fontId="152" fillId="19" borderId="7" xfId="0" applyNumberFormat="1" applyFont="1" applyFill="1" applyBorder="1" applyAlignment="1">
      <alignment horizontal="center" vertical="center" textRotation="90" wrapText="1"/>
    </xf>
    <xf numFmtId="0" fontId="152" fillId="19" borderId="7" xfId="0" applyFont="1" applyFill="1" applyBorder="1" applyAlignment="1">
      <alignment horizontal="center" vertical="center" textRotation="90" wrapText="1"/>
    </xf>
    <xf numFmtId="3" fontId="152" fillId="8" borderId="7" xfId="0" applyNumberFormat="1" applyFont="1" applyFill="1" applyBorder="1" applyAlignment="1">
      <alignment horizontal="center" vertical="center" textRotation="90" wrapText="1"/>
    </xf>
    <xf numFmtId="0" fontId="152" fillId="15" borderId="7" xfId="0" applyFont="1" applyFill="1" applyBorder="1" applyAlignment="1">
      <alignment horizontal="center" vertical="center" textRotation="90" wrapText="1"/>
    </xf>
    <xf numFmtId="3" fontId="152" fillId="15" borderId="7" xfId="0" applyNumberFormat="1" applyFont="1" applyFill="1" applyBorder="1" applyAlignment="1">
      <alignment horizontal="center" vertical="center" textRotation="90" wrapText="1"/>
    </xf>
    <xf numFmtId="0" fontId="167" fillId="0" borderId="0" xfId="0" applyFont="1" applyFill="1" applyBorder="1" applyAlignment="1">
      <alignment/>
    </xf>
    <xf numFmtId="37" fontId="25" fillId="0" borderId="0" xfId="0" applyNumberFormat="1" applyFont="1" applyBorder="1" applyAlignment="1">
      <alignment horizontal="center" vertical="center"/>
    </xf>
    <xf numFmtId="167" fontId="58" fillId="19" borderId="33" xfId="0" applyNumberFormat="1" applyFont="1" applyFill="1" applyBorder="1" applyAlignment="1">
      <alignment horizontal="center" vertical="center"/>
    </xf>
    <xf numFmtId="3" fontId="58" fillId="19" borderId="30" xfId="0" applyNumberFormat="1" applyFont="1" applyFill="1" applyBorder="1" applyAlignment="1">
      <alignment horizontal="center" vertical="center"/>
    </xf>
    <xf numFmtId="37" fontId="58" fillId="19" borderId="12" xfId="0" applyNumberFormat="1" applyFont="1" applyFill="1" applyBorder="1" applyAlignment="1">
      <alignment horizontal="center" vertical="center"/>
    </xf>
    <xf numFmtId="37" fontId="152" fillId="8" borderId="12" xfId="0" applyNumberFormat="1" applyFont="1" applyFill="1" applyBorder="1" applyAlignment="1">
      <alignment horizontal="center" vertical="center"/>
    </xf>
    <xf numFmtId="167" fontId="58" fillId="12" borderId="7" xfId="0" applyNumberFormat="1" applyFont="1" applyFill="1" applyBorder="1" applyAlignment="1">
      <alignment horizontal="center" vertical="center"/>
    </xf>
    <xf numFmtId="167" fontId="58" fillId="15" borderId="7" xfId="0" applyNumberFormat="1" applyFont="1" applyFill="1" applyBorder="1" applyAlignment="1">
      <alignment horizontal="center" vertical="center"/>
    </xf>
    <xf numFmtId="167" fontId="25" fillId="15" borderId="12" xfId="0" applyNumberFormat="1" applyFont="1" applyFill="1" applyBorder="1" applyAlignment="1">
      <alignment horizontal="center" vertical="center"/>
    </xf>
    <xf numFmtId="0" fontId="167" fillId="0" borderId="0" xfId="0" applyFont="1" applyFill="1" applyBorder="1" applyAlignment="1">
      <alignment horizontal="center" vertical="center"/>
    </xf>
    <xf numFmtId="3" fontId="152" fillId="10" borderId="13" xfId="0" applyNumberFormat="1" applyFont="1" applyFill="1" applyBorder="1" applyAlignment="1">
      <alignment horizontal="center" vertical="center"/>
    </xf>
    <xf numFmtId="37" fontId="25" fillId="0" borderId="17" xfId="0" applyNumberFormat="1" applyFont="1" applyFill="1" applyBorder="1" applyAlignment="1">
      <alignment horizontal="center" vertical="center"/>
    </xf>
    <xf numFmtId="37" fontId="58" fillId="0" borderId="23" xfId="0" applyNumberFormat="1" applyFont="1" applyFill="1" applyBorder="1" applyAlignment="1">
      <alignment horizontal="center" vertical="center"/>
    </xf>
    <xf numFmtId="167" fontId="152" fillId="0" borderId="0" xfId="0" applyNumberFormat="1" applyFont="1" applyFill="1" applyBorder="1" applyAlignment="1">
      <alignment/>
    </xf>
    <xf numFmtId="3" fontId="152" fillId="0" borderId="0" xfId="0" applyNumberFormat="1" applyFont="1" applyFill="1" applyBorder="1" applyAlignment="1">
      <alignment horizontal="center"/>
    </xf>
    <xf numFmtId="37" fontId="152" fillId="0" borderId="0" xfId="0" applyNumberFormat="1" applyFont="1" applyFill="1" applyBorder="1" applyAlignment="1">
      <alignment horizontal="center"/>
    </xf>
    <xf numFmtId="37" fontId="152" fillId="0" borderId="0" xfId="0" applyNumberFormat="1" applyFont="1" applyFill="1" applyBorder="1" applyAlignment="1">
      <alignment horizontal="right" vertical="center"/>
    </xf>
    <xf numFmtId="167" fontId="25" fillId="0" borderId="0" xfId="0" applyNumberFormat="1" applyFont="1" applyFill="1" applyBorder="1" applyAlignment="1">
      <alignment/>
    </xf>
    <xf numFmtId="167" fontId="25" fillId="0" borderId="0" xfId="0" applyNumberFormat="1" applyFont="1" applyFill="1" applyBorder="1" applyAlignment="1">
      <alignment vertical="center"/>
    </xf>
    <xf numFmtId="3" fontId="152" fillId="0" borderId="0" xfId="0" applyNumberFormat="1" applyFont="1" applyFill="1" applyBorder="1" applyAlignment="1">
      <alignment vertical="center" wrapText="1"/>
    </xf>
    <xf numFmtId="37" fontId="167" fillId="0" borderId="0" xfId="0" applyNumberFormat="1" applyFont="1" applyAlignment="1">
      <alignment/>
    </xf>
    <xf numFmtId="0" fontId="167" fillId="0" borderId="0" xfId="0" applyFont="1" applyBorder="1" applyAlignment="1">
      <alignment/>
    </xf>
    <xf numFmtId="3" fontId="79" fillId="0" borderId="7" xfId="0" applyNumberFormat="1" applyFont="1" applyFill="1" applyBorder="1" applyAlignment="1">
      <alignment horizontal="left" vertical="center" wrapText="1"/>
    </xf>
    <xf numFmtId="167" fontId="167" fillId="0" borderId="0" xfId="0" applyNumberFormat="1" applyFont="1" applyAlignment="1">
      <alignment/>
    </xf>
    <xf numFmtId="3" fontId="58" fillId="16" borderId="7" xfId="0" applyNumberFormat="1" applyFont="1" applyFill="1" applyBorder="1" applyAlignment="1">
      <alignment horizontal="center" vertical="center"/>
    </xf>
    <xf numFmtId="3" fontId="58" fillId="0" borderId="0" xfId="0" applyNumberFormat="1" applyFont="1" applyFill="1" applyBorder="1" applyAlignment="1">
      <alignment horizontal="center"/>
    </xf>
    <xf numFmtId="3" fontId="152" fillId="41" borderId="0" xfId="0" applyNumberFormat="1" applyFont="1" applyFill="1" applyBorder="1" applyAlignment="1">
      <alignment horizontal="center"/>
    </xf>
    <xf numFmtId="3" fontId="152" fillId="41" borderId="0" xfId="0" applyNumberFormat="1" applyFont="1" applyFill="1" applyBorder="1" applyAlignment="1">
      <alignment/>
    </xf>
    <xf numFmtId="0" fontId="152" fillId="0" borderId="0" xfId="0" applyFont="1" applyBorder="1" applyAlignment="1">
      <alignment vertical="center" wrapText="1"/>
    </xf>
    <xf numFmtId="0" fontId="152" fillId="0" borderId="52" xfId="0" applyFont="1" applyFill="1" applyBorder="1" applyAlignment="1">
      <alignment/>
    </xf>
    <xf numFmtId="0" fontId="167" fillId="17" borderId="7" xfId="0" applyFont="1" applyFill="1" applyBorder="1" applyAlignment="1">
      <alignment/>
    </xf>
    <xf numFmtId="0" fontId="167" fillId="0" borderId="52" xfId="0" applyFont="1" applyFill="1" applyBorder="1" applyAlignment="1">
      <alignment/>
    </xf>
    <xf numFmtId="3" fontId="152" fillId="17" borderId="47" xfId="0" applyNumberFormat="1" applyFont="1" applyFill="1" applyBorder="1" applyAlignment="1">
      <alignment horizontal="center" vertical="center" wrapText="1"/>
    </xf>
    <xf numFmtId="3" fontId="152" fillId="17" borderId="35" xfId="0" applyNumberFormat="1" applyFont="1" applyFill="1" applyBorder="1" applyAlignment="1">
      <alignment horizontal="center" vertical="center" wrapText="1"/>
    </xf>
    <xf numFmtId="0" fontId="152" fillId="17" borderId="35" xfId="0" applyFont="1" applyFill="1" applyBorder="1" applyAlignment="1">
      <alignment horizontal="center" vertical="center" wrapText="1"/>
    </xf>
    <xf numFmtId="0" fontId="167" fillId="17" borderId="7" xfId="0" applyFont="1" applyFill="1" applyBorder="1" applyAlignment="1">
      <alignment horizontal="center" vertical="center" wrapText="1"/>
    </xf>
    <xf numFmtId="37" fontId="152" fillId="17" borderId="36" xfId="0" applyNumberFormat="1" applyFont="1" applyFill="1" applyBorder="1" applyAlignment="1">
      <alignment horizontal="center" vertical="center"/>
    </xf>
    <xf numFmtId="3" fontId="58" fillId="17" borderId="17" xfId="0" applyNumberFormat="1" applyFont="1" applyFill="1" applyBorder="1" applyAlignment="1">
      <alignment horizontal="center" vertical="center"/>
    </xf>
    <xf numFmtId="0" fontId="169" fillId="0" borderId="0" xfId="0" applyFont="1" applyFill="1" applyAlignment="1">
      <alignment/>
    </xf>
    <xf numFmtId="3" fontId="152" fillId="0" borderId="52" xfId="0" applyNumberFormat="1" applyFont="1" applyFill="1" applyBorder="1" applyAlignment="1">
      <alignment/>
    </xf>
    <xf numFmtId="3" fontId="152" fillId="0" borderId="0" xfId="0" applyNumberFormat="1" applyFont="1" applyFill="1" applyBorder="1" applyAlignment="1">
      <alignment/>
    </xf>
    <xf numFmtId="3" fontId="152" fillId="0" borderId="0" xfId="0" applyNumberFormat="1" applyFont="1" applyBorder="1" applyAlignment="1">
      <alignment horizontal="center"/>
    </xf>
    <xf numFmtId="0" fontId="167" fillId="0" borderId="0" xfId="0" applyFont="1" applyAlignment="1">
      <alignment horizontal="left"/>
    </xf>
    <xf numFmtId="0" fontId="152" fillId="47" borderId="7" xfId="0" applyFont="1" applyFill="1" applyBorder="1" applyAlignment="1">
      <alignment horizontal="center" vertical="center" wrapText="1"/>
    </xf>
    <xf numFmtId="0" fontId="167" fillId="0" borderId="0" xfId="0" applyFont="1" applyAlignment="1">
      <alignment horizontal="center"/>
    </xf>
    <xf numFmtId="0" fontId="152" fillId="47" borderId="33" xfId="0" applyFont="1" applyFill="1" applyBorder="1" applyAlignment="1">
      <alignment horizontal="center" vertical="center" wrapText="1"/>
    </xf>
    <xf numFmtId="3" fontId="152" fillId="48" borderId="33" xfId="0" applyNumberFormat="1" applyFont="1" applyFill="1" applyBorder="1" applyAlignment="1">
      <alignment horizontal="center" vertical="center" wrapText="1"/>
    </xf>
    <xf numFmtId="3" fontId="152" fillId="0" borderId="28" xfId="0" applyNumberFormat="1" applyFont="1" applyFill="1" applyBorder="1" applyAlignment="1">
      <alignment vertical="center" wrapText="1"/>
    </xf>
    <xf numFmtId="0" fontId="152" fillId="9" borderId="7" xfId="0" applyFont="1" applyFill="1" applyBorder="1" applyAlignment="1">
      <alignment horizontal="center" vertical="center" textRotation="90" wrapText="1"/>
    </xf>
    <xf numFmtId="3" fontId="152" fillId="16" borderId="7" xfId="0" applyNumberFormat="1" applyFont="1" applyFill="1" applyBorder="1" applyAlignment="1">
      <alignment horizontal="center" vertical="center" wrapText="1"/>
    </xf>
    <xf numFmtId="3" fontId="58" fillId="47" borderId="7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 horizontal="center" vertical="center"/>
    </xf>
    <xf numFmtId="3" fontId="58" fillId="47" borderId="17" xfId="0" applyNumberFormat="1" applyFont="1" applyFill="1" applyBorder="1" applyAlignment="1">
      <alignment horizontal="center" vertical="center"/>
    </xf>
    <xf numFmtId="0" fontId="169" fillId="0" borderId="0" xfId="0" applyFont="1" applyAlignment="1">
      <alignment/>
    </xf>
    <xf numFmtId="3" fontId="194" fillId="0" borderId="28" xfId="0" applyNumberFormat="1" applyFont="1" applyFill="1" applyBorder="1" applyAlignment="1">
      <alignment horizontal="center"/>
    </xf>
    <xf numFmtId="3" fontId="58" fillId="9" borderId="7" xfId="0" applyNumberFormat="1" applyFont="1" applyFill="1" applyBorder="1" applyAlignment="1">
      <alignment horizontal="center"/>
    </xf>
    <xf numFmtId="3" fontId="58" fillId="16" borderId="7" xfId="0" applyNumberFormat="1" applyFont="1" applyFill="1" applyBorder="1" applyAlignment="1">
      <alignment horizontal="center"/>
    </xf>
    <xf numFmtId="3" fontId="167" fillId="0" borderId="28" xfId="0" applyNumberFormat="1" applyFont="1" applyFill="1" applyBorder="1" applyAlignment="1">
      <alignment/>
    </xf>
    <xf numFmtId="3" fontId="195" fillId="0" borderId="52" xfId="0" applyNumberFormat="1" applyFont="1" applyFill="1" applyBorder="1" applyAlignment="1">
      <alignment horizontal="center"/>
    </xf>
    <xf numFmtId="0" fontId="196" fillId="0" borderId="52" xfId="0" applyFont="1" applyFill="1" applyBorder="1" applyAlignment="1">
      <alignment horizontal="center"/>
    </xf>
    <xf numFmtId="0" fontId="196" fillId="0" borderId="0" xfId="0" applyFont="1" applyFill="1" applyBorder="1" applyAlignment="1">
      <alignment/>
    </xf>
    <xf numFmtId="167" fontId="129" fillId="0" borderId="0" xfId="0" applyNumberFormat="1" applyFont="1" applyFill="1" applyBorder="1" applyAlignment="1">
      <alignment vertical="center"/>
    </xf>
    <xf numFmtId="3" fontId="58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167" fontId="58" fillId="0" borderId="0" xfId="42" applyNumberFormat="1" applyFont="1" applyFill="1" applyBorder="1" applyAlignment="1">
      <alignment horizontal="right" vertical="center"/>
    </xf>
    <xf numFmtId="3" fontId="58" fillId="38" borderId="0" xfId="0" applyNumberFormat="1" applyFont="1" applyFill="1" applyBorder="1" applyAlignment="1">
      <alignment vertical="center"/>
    </xf>
    <xf numFmtId="3" fontId="58" fillId="38" borderId="0" xfId="0" applyNumberFormat="1" applyFont="1" applyFill="1" applyBorder="1" applyAlignment="1">
      <alignment horizontal="right"/>
    </xf>
    <xf numFmtId="167" fontId="58" fillId="38" borderId="0" xfId="42" applyNumberFormat="1" applyFont="1" applyFill="1" applyBorder="1" applyAlignment="1">
      <alignment horizontal="right" vertical="center"/>
    </xf>
    <xf numFmtId="3" fontId="58" fillId="38" borderId="0" xfId="0" applyNumberFormat="1" applyFont="1" applyFill="1" applyBorder="1" applyAlignment="1">
      <alignment horizontal="left" vertical="center"/>
    </xf>
    <xf numFmtId="3" fontId="58" fillId="38" borderId="0" xfId="0" applyNumberFormat="1" applyFont="1" applyFill="1" applyBorder="1" applyAlignment="1">
      <alignment horizontal="right" vertical="center"/>
    </xf>
    <xf numFmtId="3" fontId="58" fillId="0" borderId="7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center" vertical="center"/>
    </xf>
    <xf numFmtId="17" fontId="100" fillId="0" borderId="7" xfId="0" applyNumberFormat="1" applyFont="1" applyFill="1" applyBorder="1" applyAlignment="1">
      <alignment horizontal="center" vertical="center" wrapText="1"/>
    </xf>
    <xf numFmtId="1" fontId="100" fillId="0" borderId="7" xfId="0" applyNumberFormat="1" applyFont="1" applyFill="1" applyBorder="1" applyAlignment="1">
      <alignment horizontal="center" vertical="center" wrapText="1"/>
    </xf>
    <xf numFmtId="167" fontId="152" fillId="0" borderId="7" xfId="0" applyNumberFormat="1" applyFont="1" applyFill="1" applyBorder="1" applyAlignment="1">
      <alignment/>
    </xf>
    <xf numFmtId="167" fontId="152" fillId="0" borderId="7" xfId="42" applyNumberFormat="1" applyFont="1" applyFill="1" applyBorder="1" applyAlignment="1">
      <alignment/>
    </xf>
    <xf numFmtId="167" fontId="152" fillId="0" borderId="11" xfId="42" applyNumberFormat="1" applyFont="1" applyFill="1" applyBorder="1" applyAlignment="1">
      <alignment/>
    </xf>
    <xf numFmtId="3" fontId="152" fillId="41" borderId="7" xfId="0" applyNumberFormat="1" applyFont="1" applyFill="1" applyBorder="1" applyAlignment="1">
      <alignment/>
    </xf>
    <xf numFmtId="3" fontId="152" fillId="0" borderId="7" xfId="0" applyNumberFormat="1" applyFont="1" applyFill="1" applyBorder="1" applyAlignment="1">
      <alignment/>
    </xf>
    <xf numFmtId="167" fontId="25" fillId="0" borderId="7" xfId="42" applyNumberFormat="1" applyFont="1" applyFill="1" applyBorder="1" applyAlignment="1">
      <alignment/>
    </xf>
    <xf numFmtId="167" fontId="25" fillId="0" borderId="7" xfId="0" applyNumberFormat="1" applyFont="1" applyFill="1" applyBorder="1" applyAlignment="1">
      <alignment/>
    </xf>
    <xf numFmtId="167" fontId="152" fillId="38" borderId="7" xfId="42" applyNumberFormat="1" applyFont="1" applyFill="1" applyBorder="1" applyAlignment="1">
      <alignment/>
    </xf>
    <xf numFmtId="3" fontId="102" fillId="0" borderId="7" xfId="83" applyNumberFormat="1" applyFont="1" applyBorder="1">
      <alignment/>
      <protection/>
    </xf>
    <xf numFmtId="167" fontId="55" fillId="0" borderId="45" xfId="42" applyNumberFormat="1" applyFont="1" applyBorder="1" applyAlignment="1">
      <alignment/>
    </xf>
    <xf numFmtId="3" fontId="58" fillId="0" borderId="12" xfId="0" applyNumberFormat="1" applyFont="1" applyFill="1" applyBorder="1" applyAlignment="1">
      <alignment horizontal="right" vertical="center"/>
    </xf>
    <xf numFmtId="3" fontId="58" fillId="0" borderId="13" xfId="0" applyNumberFormat="1" applyFont="1" applyFill="1" applyBorder="1" applyAlignment="1">
      <alignment horizontal="right" vertical="center"/>
    </xf>
    <xf numFmtId="3" fontId="58" fillId="0" borderId="0" xfId="0" applyNumberFormat="1" applyFont="1" applyFill="1" applyBorder="1" applyAlignment="1">
      <alignment horizontal="left" vertical="center"/>
    </xf>
    <xf numFmtId="3" fontId="58" fillId="0" borderId="0" xfId="0" applyNumberFormat="1" applyFont="1" applyFill="1" applyBorder="1" applyAlignment="1">
      <alignment horizontal="right" vertical="center"/>
    </xf>
    <xf numFmtId="167" fontId="152" fillId="0" borderId="7" xfId="0" applyNumberFormat="1" applyFont="1" applyBorder="1" applyAlignment="1">
      <alignment/>
    </xf>
    <xf numFmtId="167" fontId="152" fillId="0" borderId="7" xfId="45" applyNumberFormat="1" applyFont="1" applyFill="1" applyBorder="1" applyAlignment="1">
      <alignment horizontal="center" vertical="center"/>
    </xf>
    <xf numFmtId="37" fontId="36" fillId="0" borderId="17" xfId="0" applyNumberFormat="1" applyFont="1" applyFill="1" applyBorder="1" applyAlignment="1">
      <alignment horizontal="center" vertical="center"/>
    </xf>
    <xf numFmtId="3" fontId="153" fillId="0" borderId="7" xfId="0" applyNumberFormat="1" applyFont="1" applyFill="1" applyBorder="1" applyAlignment="1">
      <alignment horizontal="center" vertical="center" wrapText="1"/>
    </xf>
    <xf numFmtId="167" fontId="62" fillId="0" borderId="11" xfId="42" applyNumberFormat="1" applyFont="1" applyFill="1" applyBorder="1" applyAlignment="1">
      <alignment/>
    </xf>
    <xf numFmtId="3" fontId="58" fillId="46" borderId="0" xfId="0" applyNumberFormat="1" applyFont="1" applyFill="1" applyBorder="1" applyAlignment="1">
      <alignment horizontal="center" vertical="center"/>
    </xf>
    <xf numFmtId="0" fontId="197" fillId="0" borderId="0" xfId="0" applyFont="1" applyBorder="1" applyAlignment="1">
      <alignment/>
    </xf>
    <xf numFmtId="0" fontId="198" fillId="0" borderId="0" xfId="0" applyFont="1" applyAlignment="1">
      <alignment/>
    </xf>
    <xf numFmtId="166" fontId="35" fillId="0" borderId="7" xfId="58" applyNumberFormat="1" applyFont="1" applyFill="1" applyBorder="1" applyAlignment="1">
      <alignment/>
    </xf>
    <xf numFmtId="3" fontId="58" fillId="0" borderId="7" xfId="0" applyNumberFormat="1" applyFont="1" applyBorder="1" applyAlignment="1">
      <alignment/>
    </xf>
    <xf numFmtId="166" fontId="58" fillId="0" borderId="7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166" fontId="58" fillId="0" borderId="7" xfId="0" applyNumberFormat="1" applyFont="1" applyBorder="1" applyAlignment="1">
      <alignment/>
    </xf>
    <xf numFmtId="166" fontId="35" fillId="0" borderId="7" xfId="0" applyNumberFormat="1" applyFont="1" applyBorder="1" applyAlignment="1">
      <alignment/>
    </xf>
    <xf numFmtId="166" fontId="35" fillId="0" borderId="7" xfId="0" applyNumberFormat="1" applyFont="1" applyFill="1" applyBorder="1" applyAlignment="1">
      <alignment horizontal="right"/>
    </xf>
    <xf numFmtId="166" fontId="6" fillId="0" borderId="7" xfId="0" applyNumberFormat="1" applyFont="1" applyFill="1" applyBorder="1" applyAlignment="1">
      <alignment horizontal="right"/>
    </xf>
    <xf numFmtId="166" fontId="6" fillId="0" borderId="12" xfId="58" applyNumberFormat="1" applyFont="1" applyFill="1" applyBorder="1" applyAlignment="1">
      <alignment/>
    </xf>
    <xf numFmtId="166" fontId="6" fillId="0" borderId="12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0" fontId="197" fillId="0" borderId="28" xfId="0" applyFont="1" applyBorder="1" applyAlignment="1">
      <alignment horizontal="center"/>
    </xf>
    <xf numFmtId="0" fontId="197" fillId="0" borderId="0" xfId="0" applyFont="1" applyBorder="1" applyAlignment="1">
      <alignment horizontal="center"/>
    </xf>
    <xf numFmtId="0" fontId="167" fillId="9" borderId="17" xfId="0" applyFont="1" applyFill="1" applyBorder="1" applyAlignment="1">
      <alignment horizontal="center"/>
    </xf>
    <xf numFmtId="0" fontId="167" fillId="9" borderId="34" xfId="0" applyFont="1" applyFill="1" applyBorder="1" applyAlignment="1">
      <alignment horizontal="center"/>
    </xf>
    <xf numFmtId="0" fontId="167" fillId="9" borderId="35" xfId="0" applyFont="1" applyFill="1" applyBorder="1" applyAlignment="1">
      <alignment horizontal="center"/>
    </xf>
    <xf numFmtId="3" fontId="152" fillId="47" borderId="25" xfId="0" applyNumberFormat="1" applyFont="1" applyFill="1" applyBorder="1" applyAlignment="1">
      <alignment horizontal="center" vertical="center" wrapText="1"/>
    </xf>
    <xf numFmtId="3" fontId="152" fillId="47" borderId="36" xfId="0" applyNumberFormat="1" applyFont="1" applyFill="1" applyBorder="1" applyAlignment="1">
      <alignment horizontal="center" vertical="center" wrapText="1"/>
    </xf>
    <xf numFmtId="3" fontId="152" fillId="35" borderId="7" xfId="0" applyNumberFormat="1" applyFont="1" applyFill="1" applyBorder="1" applyAlignment="1">
      <alignment horizontal="left" vertical="center"/>
    </xf>
    <xf numFmtId="3" fontId="152" fillId="0" borderId="7" xfId="0" applyNumberFormat="1" applyFont="1" applyFill="1" applyBorder="1" applyAlignment="1">
      <alignment horizontal="left" vertical="center"/>
    </xf>
    <xf numFmtId="3" fontId="58" fillId="0" borderId="7" xfId="0" applyNumberFormat="1" applyFont="1" applyFill="1" applyBorder="1" applyAlignment="1">
      <alignment horizontal="left" vertical="center"/>
    </xf>
    <xf numFmtId="3" fontId="152" fillId="0" borderId="7" xfId="0" applyNumberFormat="1" applyFont="1" applyFill="1" applyBorder="1" applyAlignment="1">
      <alignment horizontal="left"/>
    </xf>
    <xf numFmtId="0" fontId="100" fillId="33" borderId="7" xfId="0" applyFont="1" applyFill="1" applyBorder="1" applyAlignment="1">
      <alignment horizontal="center" vertical="center"/>
    </xf>
    <xf numFmtId="0" fontId="199" fillId="0" borderId="28" xfId="0" applyFont="1" applyBorder="1" applyAlignment="1">
      <alignment horizontal="center"/>
    </xf>
    <xf numFmtId="0" fontId="199" fillId="0" borderId="0" xfId="0" applyFont="1" applyBorder="1" applyAlignment="1">
      <alignment horizontal="center"/>
    </xf>
    <xf numFmtId="3" fontId="152" fillId="0" borderId="33" xfId="0" applyNumberFormat="1" applyFont="1" applyFill="1" applyBorder="1" applyAlignment="1">
      <alignment horizontal="center" vertical="center"/>
    </xf>
    <xf numFmtId="3" fontId="152" fillId="0" borderId="40" xfId="0" applyNumberFormat="1" applyFont="1" applyFill="1" applyBorder="1" applyAlignment="1">
      <alignment horizontal="center" vertical="center"/>
    </xf>
    <xf numFmtId="3" fontId="152" fillId="0" borderId="23" xfId="0" applyNumberFormat="1" applyFont="1" applyFill="1" applyBorder="1" applyAlignment="1">
      <alignment horizontal="center" vertical="center"/>
    </xf>
    <xf numFmtId="3" fontId="58" fillId="40" borderId="7" xfId="0" applyNumberFormat="1" applyFont="1" applyFill="1" applyBorder="1" applyAlignment="1">
      <alignment horizontal="center" vertical="center"/>
    </xf>
    <xf numFmtId="3" fontId="152" fillId="0" borderId="0" xfId="0" applyNumberFormat="1" applyFont="1" applyFill="1" applyBorder="1" applyAlignment="1">
      <alignment horizontal="center" vertical="center" wrapText="1"/>
    </xf>
    <xf numFmtId="3" fontId="58" fillId="47" borderId="7" xfId="0" applyNumberFormat="1" applyFont="1" applyFill="1" applyBorder="1" applyAlignment="1">
      <alignment horizontal="center"/>
    </xf>
    <xf numFmtId="3" fontId="152" fillId="48" borderId="7" xfId="0" applyNumberFormat="1" applyFont="1" applyFill="1" applyBorder="1" applyAlignment="1">
      <alignment horizontal="center" vertical="center" wrapText="1"/>
    </xf>
    <xf numFmtId="3" fontId="58" fillId="48" borderId="7" xfId="0" applyNumberFormat="1" applyFont="1" applyFill="1" applyBorder="1" applyAlignment="1">
      <alignment horizontal="center"/>
    </xf>
    <xf numFmtId="3" fontId="167" fillId="16" borderId="17" xfId="0" applyNumberFormat="1" applyFont="1" applyFill="1" applyBorder="1" applyAlignment="1">
      <alignment horizontal="center"/>
    </xf>
    <xf numFmtId="3" fontId="167" fillId="16" borderId="34" xfId="0" applyNumberFormat="1" applyFont="1" applyFill="1" applyBorder="1" applyAlignment="1">
      <alignment horizontal="center"/>
    </xf>
    <xf numFmtId="3" fontId="167" fillId="16" borderId="35" xfId="0" applyNumberFormat="1" applyFont="1" applyFill="1" applyBorder="1" applyAlignment="1">
      <alignment horizontal="center"/>
    </xf>
    <xf numFmtId="3" fontId="152" fillId="47" borderId="23" xfId="0" applyNumberFormat="1" applyFont="1" applyFill="1" applyBorder="1" applyAlignment="1">
      <alignment horizontal="center"/>
    </xf>
    <xf numFmtId="3" fontId="152" fillId="47" borderId="7" xfId="0" applyNumberFormat="1" applyFont="1" applyFill="1" applyBorder="1" applyAlignment="1">
      <alignment horizontal="center"/>
    </xf>
    <xf numFmtId="3" fontId="200" fillId="48" borderId="17" xfId="0" applyNumberFormat="1" applyFont="1" applyFill="1" applyBorder="1" applyAlignment="1">
      <alignment horizontal="center" vertical="center" wrapText="1"/>
    </xf>
    <xf numFmtId="3" fontId="200" fillId="48" borderId="34" xfId="0" applyNumberFormat="1" applyFont="1" applyFill="1" applyBorder="1" applyAlignment="1">
      <alignment horizontal="center" vertical="center" wrapText="1"/>
    </xf>
    <xf numFmtId="3" fontId="200" fillId="48" borderId="35" xfId="0" applyNumberFormat="1" applyFont="1" applyFill="1" applyBorder="1" applyAlignment="1">
      <alignment horizontal="center" vertical="center" wrapText="1"/>
    </xf>
    <xf numFmtId="0" fontId="152" fillId="0" borderId="75" xfId="0" applyFont="1" applyBorder="1" applyAlignment="1">
      <alignment horizontal="center" vertical="center"/>
    </xf>
    <xf numFmtId="0" fontId="152" fillId="0" borderId="37" xfId="0" applyFont="1" applyBorder="1" applyAlignment="1">
      <alignment horizontal="center" vertical="center"/>
    </xf>
    <xf numFmtId="0" fontId="152" fillId="0" borderId="38" xfId="0" applyFont="1" applyBorder="1" applyAlignment="1">
      <alignment horizontal="center" vertical="center"/>
    </xf>
    <xf numFmtId="3" fontId="152" fillId="49" borderId="7" xfId="0" applyNumberFormat="1" applyFont="1" applyFill="1" applyBorder="1" applyAlignment="1">
      <alignment horizontal="center" vertical="center" wrapText="1"/>
    </xf>
    <xf numFmtId="0" fontId="152" fillId="19" borderId="7" xfId="0" applyFont="1" applyFill="1" applyBorder="1" applyAlignment="1">
      <alignment horizontal="center" vertical="center" wrapText="1"/>
    </xf>
    <xf numFmtId="0" fontId="152" fillId="8" borderId="7" xfId="0" applyFont="1" applyFill="1" applyBorder="1" applyAlignment="1">
      <alignment horizontal="center" vertical="center" wrapText="1"/>
    </xf>
    <xf numFmtId="0" fontId="152" fillId="0" borderId="7" xfId="0" applyFont="1" applyFill="1" applyBorder="1" applyAlignment="1">
      <alignment horizontal="center" vertical="center" wrapText="1"/>
    </xf>
    <xf numFmtId="3" fontId="152" fillId="49" borderId="28" xfId="0" applyNumberFormat="1" applyFont="1" applyFill="1" applyBorder="1" applyAlignment="1">
      <alignment horizontal="center" vertical="center" wrapText="1"/>
    </xf>
    <xf numFmtId="3" fontId="152" fillId="49" borderId="52" xfId="0" applyNumberFormat="1" applyFont="1" applyFill="1" applyBorder="1" applyAlignment="1">
      <alignment horizontal="center" vertical="center" wrapText="1"/>
    </xf>
    <xf numFmtId="0" fontId="152" fillId="15" borderId="33" xfId="0" applyFont="1" applyFill="1" applyBorder="1" applyAlignment="1">
      <alignment horizontal="center" vertical="center" wrapText="1"/>
    </xf>
    <xf numFmtId="0" fontId="152" fillId="15" borderId="40" xfId="0" applyFont="1" applyFill="1" applyBorder="1" applyAlignment="1">
      <alignment horizontal="center" vertical="center" wrapText="1"/>
    </xf>
    <xf numFmtId="0" fontId="152" fillId="15" borderId="23" xfId="0" applyFont="1" applyFill="1" applyBorder="1" applyAlignment="1">
      <alignment horizontal="center" vertical="center" wrapText="1"/>
    </xf>
    <xf numFmtId="37" fontId="25" fillId="49" borderId="17" xfId="0" applyNumberFormat="1" applyFont="1" applyFill="1" applyBorder="1" applyAlignment="1">
      <alignment horizontal="center" vertical="center"/>
    </xf>
    <xf numFmtId="37" fontId="25" fillId="49" borderId="7" xfId="0" applyNumberFormat="1" applyFont="1" applyFill="1" applyBorder="1" applyAlignment="1">
      <alignment horizontal="center" vertical="center"/>
    </xf>
    <xf numFmtId="0" fontId="152" fillId="17" borderId="7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 wrapText="1"/>
    </xf>
    <xf numFmtId="0" fontId="152" fillId="0" borderId="53" xfId="0" applyFont="1" applyFill="1" applyBorder="1" applyAlignment="1">
      <alignment horizontal="center" vertical="center" wrapText="1"/>
    </xf>
    <xf numFmtId="0" fontId="152" fillId="0" borderId="22" xfId="0" applyFont="1" applyFill="1" applyBorder="1" applyAlignment="1">
      <alignment horizontal="center" vertical="center" wrapText="1"/>
    </xf>
    <xf numFmtId="0" fontId="152" fillId="17" borderId="7" xfId="0" applyFont="1" applyFill="1" applyBorder="1" applyAlignment="1">
      <alignment horizontal="center" vertical="center" wrapText="1"/>
    </xf>
    <xf numFmtId="3" fontId="58" fillId="17" borderId="28" xfId="0" applyNumberFormat="1" applyFont="1" applyFill="1" applyBorder="1" applyAlignment="1">
      <alignment horizontal="center" vertical="center" wrapText="1"/>
    </xf>
    <xf numFmtId="3" fontId="58" fillId="17" borderId="0" xfId="0" applyNumberFormat="1" applyFont="1" applyFill="1" applyBorder="1" applyAlignment="1">
      <alignment horizontal="center" vertical="center" wrapText="1"/>
    </xf>
    <xf numFmtId="0" fontId="167" fillId="0" borderId="0" xfId="0" applyFont="1" applyFill="1" applyBorder="1" applyAlignment="1">
      <alignment horizontal="center" vertical="center" wrapText="1"/>
    </xf>
    <xf numFmtId="3" fontId="194" fillId="0" borderId="0" xfId="0" applyNumberFormat="1" applyFont="1" applyFill="1" applyBorder="1" applyAlignment="1">
      <alignment horizontal="center"/>
    </xf>
    <xf numFmtId="0" fontId="167" fillId="0" borderId="0" xfId="0" applyFont="1" applyFill="1" applyBorder="1" applyAlignment="1">
      <alignment horizontal="center"/>
    </xf>
    <xf numFmtId="3" fontId="58" fillId="0" borderId="17" xfId="0" applyNumberFormat="1" applyFont="1" applyFill="1" applyBorder="1" applyAlignment="1">
      <alignment horizontal="center" vertical="center" wrapText="1"/>
    </xf>
    <xf numFmtId="3" fontId="58" fillId="0" borderId="34" xfId="0" applyNumberFormat="1" applyFont="1" applyFill="1" applyBorder="1" applyAlignment="1">
      <alignment horizontal="center" vertical="center" wrapText="1"/>
    </xf>
    <xf numFmtId="3" fontId="58" fillId="0" borderId="35" xfId="0" applyNumberFormat="1" applyFont="1" applyFill="1" applyBorder="1" applyAlignment="1">
      <alignment horizontal="center" vertical="center" wrapText="1"/>
    </xf>
    <xf numFmtId="3" fontId="152" fillId="17" borderId="7" xfId="0" applyNumberFormat="1" applyFont="1" applyFill="1" applyBorder="1" applyAlignment="1">
      <alignment horizontal="center"/>
    </xf>
    <xf numFmtId="3" fontId="154" fillId="0" borderId="28" xfId="0" applyNumberFormat="1" applyFont="1" applyFill="1" applyBorder="1" applyAlignment="1">
      <alignment horizontal="center"/>
    </xf>
    <xf numFmtId="3" fontId="154" fillId="0" borderId="0" xfId="0" applyNumberFormat="1" applyFont="1" applyFill="1" applyBorder="1" applyAlignment="1">
      <alignment horizontal="center"/>
    </xf>
    <xf numFmtId="0" fontId="183" fillId="0" borderId="16" xfId="0" applyFont="1" applyFill="1" applyBorder="1" applyAlignment="1">
      <alignment horizontal="left" vertical="center" wrapText="1"/>
    </xf>
    <xf numFmtId="0" fontId="183" fillId="0" borderId="11" xfId="0" applyFont="1" applyFill="1" applyBorder="1" applyAlignment="1">
      <alignment horizontal="left" vertical="center" wrapText="1"/>
    </xf>
    <xf numFmtId="0" fontId="78" fillId="0" borderId="16" xfId="0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183" fillId="0" borderId="15" xfId="0" applyFont="1" applyFill="1" applyBorder="1" applyAlignment="1">
      <alignment horizontal="left"/>
    </xf>
    <xf numFmtId="0" fontId="183" fillId="0" borderId="26" xfId="0" applyFont="1" applyFill="1" applyBorder="1" applyAlignment="1">
      <alignment horizontal="left"/>
    </xf>
    <xf numFmtId="0" fontId="183" fillId="0" borderId="7" xfId="0" applyFont="1" applyFill="1" applyBorder="1" applyAlignment="1">
      <alignment horizontal="left"/>
    </xf>
    <xf numFmtId="0" fontId="183" fillId="0" borderId="33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68" xfId="0" applyFill="1" applyBorder="1" applyAlignment="1">
      <alignment horizontal="left"/>
    </xf>
    <xf numFmtId="0" fontId="78" fillId="19" borderId="16" xfId="0" applyFont="1" applyFill="1" applyBorder="1" applyAlignment="1">
      <alignment horizontal="left" vertical="center" wrapText="1"/>
    </xf>
    <xf numFmtId="0" fontId="78" fillId="19" borderId="11" xfId="0" applyFont="1" applyFill="1" applyBorder="1" applyAlignment="1">
      <alignment horizontal="left" vertical="center" wrapText="1"/>
    </xf>
    <xf numFmtId="0" fontId="142" fillId="19" borderId="19" xfId="0" applyFont="1" applyFill="1" applyBorder="1" applyAlignment="1">
      <alignment horizontal="left"/>
    </xf>
    <xf numFmtId="0" fontId="142" fillId="19" borderId="13" xfId="0" applyFont="1" applyFill="1" applyBorder="1" applyAlignment="1">
      <alignment horizontal="left"/>
    </xf>
    <xf numFmtId="0" fontId="77" fillId="38" borderId="16" xfId="0" applyFont="1" applyFill="1" applyBorder="1" applyAlignment="1">
      <alignment horizontal="left" vertical="center" wrapText="1"/>
    </xf>
    <xf numFmtId="0" fontId="77" fillId="38" borderId="11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 wrapText="1"/>
    </xf>
    <xf numFmtId="0" fontId="201" fillId="0" borderId="39" xfId="0" applyFont="1" applyFill="1" applyBorder="1" applyAlignment="1">
      <alignment horizontal="left"/>
    </xf>
    <xf numFmtId="0" fontId="201" fillId="0" borderId="68" xfId="0" applyFont="1" applyFill="1" applyBorder="1" applyAlignment="1">
      <alignment horizontal="left"/>
    </xf>
    <xf numFmtId="0" fontId="154" fillId="25" borderId="75" xfId="0" applyFont="1" applyFill="1" applyBorder="1" applyAlignment="1">
      <alignment horizontal="left"/>
    </xf>
    <xf numFmtId="0" fontId="154" fillId="25" borderId="37" xfId="0" applyFont="1" applyFill="1" applyBorder="1" applyAlignment="1">
      <alignment horizontal="left"/>
    </xf>
    <xf numFmtId="0" fontId="154" fillId="25" borderId="42" xfId="0" applyFont="1" applyFill="1" applyBorder="1" applyAlignment="1">
      <alignment horizontal="left"/>
    </xf>
    <xf numFmtId="0" fontId="201" fillId="0" borderId="18" xfId="0" applyFont="1" applyFill="1" applyBorder="1" applyAlignment="1">
      <alignment horizontal="left"/>
    </xf>
    <xf numFmtId="0" fontId="201" fillId="0" borderId="32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83" fillId="19" borderId="12" xfId="0" applyFont="1" applyFill="1" applyBorder="1" applyAlignment="1">
      <alignment horizontal="left"/>
    </xf>
    <xf numFmtId="0" fontId="183" fillId="19" borderId="30" xfId="0" applyFont="1" applyFill="1" applyBorder="1" applyAlignment="1">
      <alignment horizontal="left"/>
    </xf>
    <xf numFmtId="0" fontId="183" fillId="19" borderId="33" xfId="0" applyFont="1" applyFill="1" applyBorder="1" applyAlignment="1">
      <alignment horizontal="left"/>
    </xf>
    <xf numFmtId="0" fontId="183" fillId="19" borderId="40" xfId="0" applyFont="1" applyFill="1" applyBorder="1" applyAlignment="1">
      <alignment horizontal="left"/>
    </xf>
    <xf numFmtId="0" fontId="45" fillId="0" borderId="75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3" fontId="154" fillId="0" borderId="33" xfId="0" applyNumberFormat="1" applyFont="1" applyFill="1" applyBorder="1" applyAlignment="1">
      <alignment horizontal="right"/>
    </xf>
    <xf numFmtId="3" fontId="154" fillId="0" borderId="40" xfId="0" applyNumberFormat="1" applyFont="1" applyFill="1" applyBorder="1" applyAlignment="1">
      <alignment horizontal="right"/>
    </xf>
    <xf numFmtId="3" fontId="154" fillId="0" borderId="23" xfId="0" applyNumberFormat="1" applyFont="1" applyFill="1" applyBorder="1" applyAlignment="1">
      <alignment horizontal="right"/>
    </xf>
    <xf numFmtId="0" fontId="83" fillId="0" borderId="61" xfId="0" applyFont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152" fillId="0" borderId="41" xfId="0" applyFont="1" applyBorder="1" applyAlignment="1">
      <alignment horizontal="center"/>
    </xf>
    <xf numFmtId="0" fontId="152" fillId="0" borderId="49" xfId="0" applyFont="1" applyBorder="1" applyAlignment="1">
      <alignment horizontal="center"/>
    </xf>
    <xf numFmtId="0" fontId="17" fillId="0" borderId="17" xfId="0" applyFont="1" applyFill="1" applyBorder="1" applyAlignment="1">
      <alignment horizontal="center" vertical="center" textRotation="90"/>
    </xf>
    <xf numFmtId="0" fontId="17" fillId="0" borderId="7" xfId="0" applyFont="1" applyFill="1" applyBorder="1" applyAlignment="1">
      <alignment horizontal="center" vertical="center" textRotation="90"/>
    </xf>
    <xf numFmtId="0" fontId="17" fillId="0" borderId="29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3" fontId="58" fillId="0" borderId="7" xfId="0" applyNumberFormat="1" applyFont="1" applyFill="1" applyBorder="1" applyAlignment="1">
      <alignment horizontal="center" vertical="center" textRotation="90"/>
    </xf>
    <xf numFmtId="3" fontId="58" fillId="0" borderId="23" xfId="0" applyNumberFormat="1" applyFont="1" applyFill="1" applyBorder="1" applyAlignment="1">
      <alignment horizontal="center" vertical="center" textRotation="90"/>
    </xf>
    <xf numFmtId="0" fontId="142" fillId="0" borderId="33" xfId="0" applyFont="1" applyBorder="1" applyAlignment="1">
      <alignment horizontal="left"/>
    </xf>
    <xf numFmtId="0" fontId="142" fillId="0" borderId="40" xfId="0" applyFont="1" applyBorder="1" applyAlignment="1">
      <alignment horizontal="left"/>
    </xf>
    <xf numFmtId="0" fontId="142" fillId="0" borderId="23" xfId="0" applyFont="1" applyBorder="1" applyAlignment="1">
      <alignment horizontal="left"/>
    </xf>
    <xf numFmtId="3" fontId="150" fillId="33" borderId="74" xfId="0" applyNumberFormat="1" applyFont="1" applyFill="1" applyBorder="1" applyAlignment="1">
      <alignment horizontal="center" vertical="center"/>
    </xf>
    <xf numFmtId="3" fontId="150" fillId="33" borderId="61" xfId="0" applyNumberFormat="1" applyFont="1" applyFill="1" applyBorder="1" applyAlignment="1">
      <alignment horizontal="center" vertical="center"/>
    </xf>
    <xf numFmtId="3" fontId="150" fillId="33" borderId="65" xfId="0" applyNumberFormat="1" applyFont="1" applyFill="1" applyBorder="1" applyAlignment="1">
      <alignment horizontal="center" vertical="center"/>
    </xf>
    <xf numFmtId="3" fontId="78" fillId="18" borderId="75" xfId="0" applyNumberFormat="1" applyFont="1" applyFill="1" applyBorder="1" applyAlignment="1">
      <alignment horizontal="center" vertical="center"/>
    </xf>
    <xf numFmtId="3" fontId="78" fillId="18" borderId="37" xfId="0" applyNumberFormat="1" applyFont="1" applyFill="1" applyBorder="1" applyAlignment="1">
      <alignment horizontal="center" vertical="center"/>
    </xf>
    <xf numFmtId="3" fontId="78" fillId="18" borderId="69" xfId="0" applyNumberFormat="1" applyFont="1" applyFill="1" applyBorder="1" applyAlignment="1">
      <alignment horizontal="center" vertical="center"/>
    </xf>
    <xf numFmtId="3" fontId="78" fillId="18" borderId="38" xfId="0" applyNumberFormat="1" applyFont="1" applyFill="1" applyBorder="1" applyAlignment="1">
      <alignment horizontal="center" vertical="center"/>
    </xf>
    <xf numFmtId="3" fontId="150" fillId="0" borderId="72" xfId="0" applyNumberFormat="1" applyFont="1" applyBorder="1" applyAlignment="1">
      <alignment horizontal="center"/>
    </xf>
    <xf numFmtId="3" fontId="150" fillId="0" borderId="0" xfId="0" applyNumberFormat="1" applyFont="1" applyBorder="1" applyAlignment="1">
      <alignment horizontal="center"/>
    </xf>
    <xf numFmtId="3" fontId="150" fillId="0" borderId="73" xfId="0" applyNumberFormat="1" applyFont="1" applyBorder="1" applyAlignment="1">
      <alignment horizontal="center"/>
    </xf>
    <xf numFmtId="3" fontId="150" fillId="0" borderId="74" xfId="0" applyNumberFormat="1" applyFont="1" applyBorder="1" applyAlignment="1">
      <alignment horizontal="center"/>
    </xf>
    <xf numFmtId="3" fontId="150" fillId="0" borderId="61" xfId="0" applyNumberFormat="1" applyFont="1" applyBorder="1" applyAlignment="1">
      <alignment horizontal="center"/>
    </xf>
    <xf numFmtId="3" fontId="150" fillId="0" borderId="65" xfId="0" applyNumberFormat="1" applyFont="1" applyBorder="1" applyAlignment="1">
      <alignment horizontal="center"/>
    </xf>
    <xf numFmtId="3" fontId="6" fillId="33" borderId="75" xfId="0" applyNumberFormat="1" applyFont="1" applyFill="1" applyBorder="1" applyAlignment="1">
      <alignment horizontal="center" wrapText="1"/>
    </xf>
    <xf numFmtId="3" fontId="6" fillId="33" borderId="38" xfId="0" applyNumberFormat="1" applyFont="1" applyFill="1" applyBorder="1" applyAlignment="1">
      <alignment horizontal="center" wrapText="1"/>
    </xf>
    <xf numFmtId="3" fontId="202" fillId="33" borderId="97" xfId="0" applyNumberFormat="1" applyFont="1" applyFill="1" applyBorder="1" applyAlignment="1">
      <alignment horizontal="center" wrapText="1"/>
    </xf>
    <xf numFmtId="3" fontId="202" fillId="33" borderId="96" xfId="0" applyNumberFormat="1" applyFont="1" applyFill="1" applyBorder="1" applyAlignment="1">
      <alignment horizontal="center" wrapText="1"/>
    </xf>
    <xf numFmtId="0" fontId="142" fillId="0" borderId="33" xfId="0" applyFont="1" applyBorder="1" applyAlignment="1">
      <alignment horizontal="center"/>
    </xf>
    <xf numFmtId="0" fontId="142" fillId="0" borderId="40" xfId="0" applyFont="1" applyBorder="1" applyAlignment="1">
      <alignment horizontal="center"/>
    </xf>
    <xf numFmtId="0" fontId="142" fillId="0" borderId="23" xfId="0" applyFont="1" applyBorder="1" applyAlignment="1">
      <alignment horizontal="center"/>
    </xf>
    <xf numFmtId="3" fontId="156" fillId="0" borderId="33" xfId="0" applyNumberFormat="1" applyFont="1" applyFill="1" applyBorder="1" applyAlignment="1">
      <alignment horizontal="left" vertical="center"/>
    </xf>
    <xf numFmtId="3" fontId="156" fillId="0" borderId="40" xfId="0" applyNumberFormat="1" applyFont="1" applyFill="1" applyBorder="1" applyAlignment="1">
      <alignment horizontal="left" vertical="center"/>
    </xf>
    <xf numFmtId="3" fontId="156" fillId="0" borderId="33" xfId="0" applyNumberFormat="1" applyFont="1" applyFill="1" applyBorder="1" applyAlignment="1">
      <alignment horizontal="center" vertical="center"/>
    </xf>
    <xf numFmtId="3" fontId="156" fillId="0" borderId="40" xfId="0" applyNumberFormat="1" applyFont="1" applyFill="1" applyBorder="1" applyAlignment="1">
      <alignment horizontal="center" vertical="center"/>
    </xf>
    <xf numFmtId="167" fontId="142" fillId="8" borderId="17" xfId="0" applyNumberFormat="1" applyFont="1" applyFill="1" applyBorder="1" applyAlignment="1">
      <alignment horizontal="center" vertical="center"/>
    </xf>
    <xf numFmtId="0" fontId="142" fillId="8" borderId="35" xfId="0" applyFont="1" applyFill="1" applyBorder="1" applyAlignment="1">
      <alignment horizontal="center" vertical="center"/>
    </xf>
    <xf numFmtId="3" fontId="202" fillId="0" borderId="0" xfId="0" applyNumberFormat="1" applyFont="1" applyFill="1" applyBorder="1" applyAlignment="1">
      <alignment horizontal="center" vertical="center" wrapText="1"/>
    </xf>
    <xf numFmtId="0" fontId="142" fillId="0" borderId="0" xfId="0" applyFont="1" applyBorder="1" applyAlignment="1">
      <alignment horizontal="left" vertical="center"/>
    </xf>
    <xf numFmtId="3" fontId="6" fillId="0" borderId="7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3" fontId="6" fillId="0" borderId="65" xfId="0" applyNumberFormat="1" applyFont="1" applyBorder="1" applyAlignment="1">
      <alignment horizontal="center" vertical="center" wrapText="1"/>
    </xf>
    <xf numFmtId="3" fontId="6" fillId="50" borderId="75" xfId="0" applyNumberFormat="1" applyFont="1" applyFill="1" applyBorder="1" applyAlignment="1">
      <alignment horizontal="center" vertical="center" wrapText="1"/>
    </xf>
    <xf numFmtId="3" fontId="6" fillId="50" borderId="37" xfId="0" applyNumberFormat="1" applyFont="1" applyFill="1" applyBorder="1" applyAlignment="1">
      <alignment horizontal="center" vertical="center" wrapText="1"/>
    </xf>
    <xf numFmtId="3" fontId="6" fillId="50" borderId="38" xfId="0" applyNumberFormat="1" applyFont="1" applyFill="1" applyBorder="1" applyAlignment="1">
      <alignment horizontal="center" vertical="center" wrapText="1"/>
    </xf>
    <xf numFmtId="0" fontId="151" fillId="0" borderId="75" xfId="0" applyFont="1" applyBorder="1" applyAlignment="1">
      <alignment horizontal="center" vertical="center"/>
    </xf>
    <xf numFmtId="0" fontId="151" fillId="0" borderId="37" xfId="0" applyFont="1" applyBorder="1" applyAlignment="1">
      <alignment horizontal="center" vertical="center"/>
    </xf>
    <xf numFmtId="3" fontId="150" fillId="0" borderId="75" xfId="0" applyNumberFormat="1" applyFont="1" applyFill="1" applyBorder="1" applyAlignment="1">
      <alignment horizontal="center" vertical="center"/>
    </xf>
    <xf numFmtId="3" fontId="150" fillId="0" borderId="37" xfId="0" applyNumberFormat="1" applyFont="1" applyFill="1" applyBorder="1" applyAlignment="1">
      <alignment horizontal="center" vertical="center"/>
    </xf>
    <xf numFmtId="0" fontId="154" fillId="0" borderId="75" xfId="0" applyFont="1" applyBorder="1" applyAlignment="1">
      <alignment horizontal="center"/>
    </xf>
    <xf numFmtId="0" fontId="154" fillId="0" borderId="37" xfId="0" applyFont="1" applyBorder="1" applyAlignment="1">
      <alignment horizontal="center"/>
    </xf>
    <xf numFmtId="0" fontId="154" fillId="0" borderId="38" xfId="0" applyFont="1" applyBorder="1" applyAlignment="1">
      <alignment horizontal="center"/>
    </xf>
    <xf numFmtId="3" fontId="171" fillId="19" borderId="97" xfId="0" applyNumberFormat="1" applyFont="1" applyFill="1" applyBorder="1" applyAlignment="1">
      <alignment horizontal="center" vertical="center" wrapText="1"/>
    </xf>
    <xf numFmtId="3" fontId="171" fillId="19" borderId="69" xfId="0" applyNumberFormat="1" applyFont="1" applyFill="1" applyBorder="1" applyAlignment="1">
      <alignment horizontal="center" vertical="center" wrapText="1"/>
    </xf>
    <xf numFmtId="3" fontId="171" fillId="19" borderId="96" xfId="0" applyNumberFormat="1" applyFont="1" applyFill="1" applyBorder="1" applyAlignment="1">
      <alignment horizontal="center" vertical="center" wrapText="1"/>
    </xf>
    <xf numFmtId="3" fontId="171" fillId="19" borderId="74" xfId="0" applyNumberFormat="1" applyFont="1" applyFill="1" applyBorder="1" applyAlignment="1">
      <alignment horizontal="center" vertical="center" wrapText="1"/>
    </xf>
    <xf numFmtId="3" fontId="171" fillId="19" borderId="61" xfId="0" applyNumberFormat="1" applyFont="1" applyFill="1" applyBorder="1" applyAlignment="1">
      <alignment horizontal="center" vertical="center" wrapText="1"/>
    </xf>
    <xf numFmtId="3" fontId="171" fillId="19" borderId="65" xfId="0" applyNumberFormat="1" applyFont="1" applyFill="1" applyBorder="1" applyAlignment="1">
      <alignment horizontal="center" vertical="center" wrapText="1"/>
    </xf>
    <xf numFmtId="3" fontId="62" fillId="0" borderId="74" xfId="0" applyNumberFormat="1" applyFont="1" applyBorder="1" applyAlignment="1">
      <alignment horizontal="center" vertical="center"/>
    </xf>
    <xf numFmtId="3" fontId="62" fillId="0" borderId="61" xfId="0" applyNumberFormat="1" applyFont="1" applyBorder="1" applyAlignment="1">
      <alignment horizontal="center" vertical="center"/>
    </xf>
    <xf numFmtId="3" fontId="62" fillId="0" borderId="65" xfId="0" applyNumberFormat="1" applyFont="1" applyBorder="1" applyAlignment="1">
      <alignment horizontal="center" vertical="center"/>
    </xf>
    <xf numFmtId="0" fontId="150" fillId="0" borderId="75" xfId="0" applyFont="1" applyBorder="1" applyAlignment="1">
      <alignment horizontal="center" vertical="center"/>
    </xf>
    <xf numFmtId="0" fontId="150" fillId="0" borderId="38" xfId="0" applyFont="1" applyBorder="1" applyAlignment="1">
      <alignment horizontal="center" vertical="center"/>
    </xf>
    <xf numFmtId="3" fontId="150" fillId="0" borderId="38" xfId="0" applyNumberFormat="1" applyFont="1" applyFill="1" applyBorder="1" applyAlignment="1">
      <alignment horizontal="center" vertical="center"/>
    </xf>
    <xf numFmtId="0" fontId="150" fillId="0" borderId="75" xfId="0" applyFont="1" applyBorder="1" applyAlignment="1">
      <alignment horizontal="center" vertical="center" wrapText="1"/>
    </xf>
    <xf numFmtId="0" fontId="150" fillId="0" borderId="38" xfId="0" applyFont="1" applyBorder="1" applyAlignment="1">
      <alignment horizontal="center" vertical="center" wrapText="1"/>
    </xf>
    <xf numFmtId="3" fontId="150" fillId="0" borderId="74" xfId="0" applyNumberFormat="1" applyFont="1" applyBorder="1" applyAlignment="1">
      <alignment horizontal="center" vertical="center"/>
    </xf>
    <xf numFmtId="3" fontId="150" fillId="0" borderId="65" xfId="0" applyNumberFormat="1" applyFont="1" applyBorder="1" applyAlignment="1">
      <alignment horizontal="center" vertical="center"/>
    </xf>
    <xf numFmtId="0" fontId="151" fillId="0" borderId="38" xfId="0" applyFont="1" applyBorder="1" applyAlignment="1">
      <alignment horizontal="center" vertical="center"/>
    </xf>
    <xf numFmtId="0" fontId="151" fillId="0" borderId="75" xfId="0" applyFont="1" applyBorder="1" applyAlignment="1">
      <alignment horizontal="center" vertical="center" wrapText="1"/>
    </xf>
    <xf numFmtId="0" fontId="151" fillId="0" borderId="38" xfId="0" applyFont="1" applyBorder="1" applyAlignment="1">
      <alignment horizontal="center" vertical="center" wrapText="1"/>
    </xf>
    <xf numFmtId="3" fontId="150" fillId="0" borderId="75" xfId="0" applyNumberFormat="1" applyFont="1" applyFill="1" applyBorder="1" applyAlignment="1">
      <alignment horizontal="center" vertical="center" wrapText="1"/>
    </xf>
    <xf numFmtId="3" fontId="150" fillId="0" borderId="38" xfId="0" applyNumberFormat="1" applyFont="1" applyFill="1" applyBorder="1" applyAlignment="1">
      <alignment horizontal="center" vertical="center" wrapText="1"/>
    </xf>
    <xf numFmtId="0" fontId="150" fillId="0" borderId="97" xfId="0" applyFont="1" applyBorder="1" applyAlignment="1">
      <alignment horizontal="center" vertical="center" wrapText="1"/>
    </xf>
    <xf numFmtId="0" fontId="150" fillId="0" borderId="69" xfId="0" applyFont="1" applyBorder="1" applyAlignment="1">
      <alignment horizontal="center" vertical="center" wrapText="1"/>
    </xf>
    <xf numFmtId="0" fontId="150" fillId="0" borderId="96" xfId="0" applyFont="1" applyBorder="1" applyAlignment="1">
      <alignment horizontal="center" vertical="center" wrapText="1"/>
    </xf>
    <xf numFmtId="0" fontId="150" fillId="0" borderId="37" xfId="0" applyFont="1" applyBorder="1" applyAlignment="1">
      <alignment horizontal="center" vertical="center" wrapText="1"/>
    </xf>
    <xf numFmtId="0" fontId="157" fillId="0" borderId="7" xfId="0" applyFont="1" applyBorder="1" applyAlignment="1">
      <alignment horizontal="center"/>
    </xf>
    <xf numFmtId="0" fontId="203" fillId="0" borderId="7" xfId="0" applyFont="1" applyBorder="1" applyAlignment="1">
      <alignment horizontal="center"/>
    </xf>
    <xf numFmtId="0" fontId="150" fillId="33" borderId="75" xfId="0" applyFont="1" applyFill="1" applyBorder="1" applyAlignment="1">
      <alignment horizontal="center" vertical="center" wrapText="1"/>
    </xf>
    <xf numFmtId="0" fontId="150" fillId="33" borderId="37" xfId="0" applyFont="1" applyFill="1" applyBorder="1" applyAlignment="1">
      <alignment horizontal="center" vertical="center" wrapText="1"/>
    </xf>
    <xf numFmtId="0" fontId="150" fillId="33" borderId="38" xfId="0" applyFont="1" applyFill="1" applyBorder="1" applyAlignment="1">
      <alignment horizontal="center" vertical="center" wrapText="1"/>
    </xf>
    <xf numFmtId="0" fontId="202" fillId="0" borderId="97" xfId="0" applyFont="1" applyBorder="1" applyAlignment="1">
      <alignment horizontal="center" vertical="center" wrapText="1"/>
    </xf>
    <xf numFmtId="0" fontId="202" fillId="0" borderId="69" xfId="0" applyFont="1" applyBorder="1" applyAlignment="1">
      <alignment horizontal="center" vertical="center" wrapText="1"/>
    </xf>
    <xf numFmtId="0" fontId="202" fillId="0" borderId="96" xfId="0" applyFont="1" applyBorder="1" applyAlignment="1">
      <alignment horizontal="center" vertical="center" wrapText="1"/>
    </xf>
    <xf numFmtId="3" fontId="6" fillId="0" borderId="74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65" xfId="0" applyNumberFormat="1" applyFont="1" applyBorder="1" applyAlignment="1">
      <alignment horizontal="center" vertical="center"/>
    </xf>
    <xf numFmtId="3" fontId="6" fillId="0" borderId="74" xfId="0" applyNumberFormat="1" applyFont="1" applyBorder="1" applyAlignment="1">
      <alignment horizontal="center" vertical="center" wrapText="1"/>
    </xf>
    <xf numFmtId="0" fontId="157" fillId="0" borderId="75" xfId="0" applyFont="1" applyFill="1" applyBorder="1" applyAlignment="1">
      <alignment horizontal="center" vertical="center"/>
    </xf>
    <xf numFmtId="0" fontId="157" fillId="0" borderId="37" xfId="0" applyFont="1" applyFill="1" applyBorder="1" applyAlignment="1">
      <alignment horizontal="center" vertical="center"/>
    </xf>
    <xf numFmtId="0" fontId="157" fillId="0" borderId="38" xfId="0" applyFont="1" applyFill="1" applyBorder="1" applyAlignment="1">
      <alignment horizontal="center" vertical="center"/>
    </xf>
    <xf numFmtId="167" fontId="155" fillId="0" borderId="17" xfId="0" applyNumberFormat="1" applyFont="1" applyBorder="1" applyAlignment="1">
      <alignment horizontal="center" vertical="center"/>
    </xf>
    <xf numFmtId="167" fontId="155" fillId="0" borderId="35" xfId="0" applyNumberFormat="1" applyFont="1" applyBorder="1" applyAlignment="1">
      <alignment horizontal="center" vertical="center"/>
    </xf>
    <xf numFmtId="167" fontId="55" fillId="0" borderId="25" xfId="42" applyNumberFormat="1" applyFont="1" applyBorder="1" applyAlignment="1">
      <alignment horizontal="center" vertical="center"/>
    </xf>
    <xf numFmtId="167" fontId="55" fillId="0" borderId="0" xfId="42" applyNumberFormat="1" applyFont="1" applyBorder="1" applyAlignment="1">
      <alignment horizontal="center" vertical="center"/>
    </xf>
    <xf numFmtId="167" fontId="55" fillId="0" borderId="82" xfId="42" applyNumberFormat="1" applyFont="1" applyBorder="1" applyAlignment="1">
      <alignment horizontal="center" vertical="center"/>
    </xf>
    <xf numFmtId="167" fontId="55" fillId="0" borderId="7" xfId="42" applyNumberFormat="1" applyFont="1" applyBorder="1" applyAlignment="1">
      <alignment horizontal="center" vertical="center"/>
    </xf>
    <xf numFmtId="167" fontId="55" fillId="0" borderId="17" xfId="42" applyNumberFormat="1" applyFont="1" applyBorder="1" applyAlignment="1">
      <alignment horizontal="center" vertical="center"/>
    </xf>
    <xf numFmtId="167" fontId="155" fillId="0" borderId="34" xfId="0" applyNumberFormat="1" applyFont="1" applyBorder="1" applyAlignment="1">
      <alignment horizontal="center" vertical="center"/>
    </xf>
    <xf numFmtId="3" fontId="156" fillId="0" borderId="17" xfId="0" applyNumberFormat="1" applyFont="1" applyFill="1" applyBorder="1" applyAlignment="1">
      <alignment horizontal="center" vertical="center"/>
    </xf>
    <xf numFmtId="3" fontId="156" fillId="0" borderId="35" xfId="0" applyNumberFormat="1" applyFont="1" applyFill="1" applyBorder="1" applyAlignment="1">
      <alignment horizontal="center" vertical="center"/>
    </xf>
    <xf numFmtId="3" fontId="156" fillId="0" borderId="34" xfId="0" applyNumberFormat="1" applyFont="1" applyFill="1" applyBorder="1" applyAlignment="1">
      <alignment horizontal="center" vertical="center"/>
    </xf>
    <xf numFmtId="3" fontId="156" fillId="0" borderId="7" xfId="0" applyNumberFormat="1" applyFont="1" applyFill="1" applyBorder="1" applyAlignment="1">
      <alignment horizontal="center" vertical="center"/>
    </xf>
    <xf numFmtId="0" fontId="156" fillId="0" borderId="7" xfId="0" applyFont="1" applyBorder="1" applyAlignment="1">
      <alignment horizontal="left" vertical="center" wrapText="1"/>
    </xf>
    <xf numFmtId="167" fontId="142" fillId="0" borderId="17" xfId="0" applyNumberFormat="1" applyFont="1" applyFill="1" applyBorder="1" applyAlignment="1">
      <alignment horizontal="center" vertical="center"/>
    </xf>
    <xf numFmtId="167" fontId="142" fillId="0" borderId="34" xfId="0" applyNumberFormat="1" applyFont="1" applyFill="1" applyBorder="1" applyAlignment="1">
      <alignment horizontal="center" vertical="center"/>
    </xf>
    <xf numFmtId="167" fontId="142" fillId="0" borderId="35" xfId="0" applyNumberFormat="1" applyFont="1" applyFill="1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 vertical="center"/>
    </xf>
    <xf numFmtId="167" fontId="0" fillId="0" borderId="34" xfId="0" applyNumberFormat="1" applyFill="1" applyBorder="1" applyAlignment="1">
      <alignment horizontal="center" vertical="center"/>
    </xf>
    <xf numFmtId="167" fontId="0" fillId="0" borderId="35" xfId="0" applyNumberFormat="1" applyFill="1" applyBorder="1" applyAlignment="1">
      <alignment horizontal="center" vertical="center"/>
    </xf>
    <xf numFmtId="0" fontId="156" fillId="0" borderId="7" xfId="0" applyFont="1" applyFill="1" applyBorder="1" applyAlignment="1">
      <alignment horizontal="left" vertical="center"/>
    </xf>
    <xf numFmtId="167" fontId="156" fillId="0" borderId="7" xfId="0" applyNumberFormat="1" applyFont="1" applyFill="1" applyBorder="1" applyAlignment="1">
      <alignment horizontal="center" vertical="center"/>
    </xf>
    <xf numFmtId="0" fontId="156" fillId="0" borderId="17" xfId="0" applyFont="1" applyFill="1" applyBorder="1" applyAlignment="1">
      <alignment horizontal="left" vertical="center" wrapText="1"/>
    </xf>
    <xf numFmtId="0" fontId="156" fillId="0" borderId="35" xfId="0" applyFont="1" applyFill="1" applyBorder="1" applyAlignment="1">
      <alignment horizontal="left" vertical="center" wrapText="1"/>
    </xf>
    <xf numFmtId="3" fontId="37" fillId="0" borderId="17" xfId="78" applyNumberFormat="1" applyFont="1" applyFill="1" applyBorder="1" applyAlignment="1">
      <alignment horizontal="right" vertical="center"/>
      <protection/>
    </xf>
    <xf numFmtId="3" fontId="37" fillId="0" borderId="35" xfId="78" applyNumberFormat="1" applyFont="1" applyFill="1" applyBorder="1" applyAlignment="1">
      <alignment horizontal="right" vertical="center"/>
      <protection/>
    </xf>
    <xf numFmtId="37" fontId="155" fillId="0" borderId="17" xfId="0" applyNumberFormat="1" applyFont="1" applyFill="1" applyBorder="1" applyAlignment="1">
      <alignment horizontal="center" vertical="center"/>
    </xf>
    <xf numFmtId="37" fontId="155" fillId="0" borderId="35" xfId="0" applyNumberFormat="1" applyFont="1" applyFill="1" applyBorder="1" applyAlignment="1">
      <alignment horizontal="center" vertical="center"/>
    </xf>
    <xf numFmtId="0" fontId="156" fillId="0" borderId="17" xfId="0" applyFont="1" applyBorder="1" applyAlignment="1">
      <alignment horizontal="center" vertical="center" wrapText="1"/>
    </xf>
    <xf numFmtId="0" fontId="156" fillId="0" borderId="34" xfId="0" applyFont="1" applyBorder="1" applyAlignment="1">
      <alignment horizontal="center" vertical="center" wrapText="1"/>
    </xf>
    <xf numFmtId="0" fontId="156" fillId="0" borderId="35" xfId="0" applyFont="1" applyBorder="1" applyAlignment="1">
      <alignment horizontal="center" vertical="center" wrapText="1"/>
    </xf>
    <xf numFmtId="0" fontId="156" fillId="0" borderId="17" xfId="0" applyFont="1" applyBorder="1" applyAlignment="1">
      <alignment horizontal="left" vertical="center" wrapText="1"/>
    </xf>
    <xf numFmtId="0" fontId="156" fillId="0" borderId="35" xfId="0" applyFont="1" applyBorder="1" applyAlignment="1">
      <alignment horizontal="left" vertical="center" wrapText="1"/>
    </xf>
    <xf numFmtId="0" fontId="156" fillId="0" borderId="34" xfId="0" applyFont="1" applyBorder="1" applyAlignment="1">
      <alignment horizontal="left" vertical="center" wrapText="1"/>
    </xf>
    <xf numFmtId="0" fontId="156" fillId="0" borderId="7" xfId="0" applyFont="1" applyFill="1" applyBorder="1" applyAlignment="1">
      <alignment horizontal="left" vertical="center" wrapText="1"/>
    </xf>
    <xf numFmtId="0" fontId="156" fillId="0" borderId="17" xfId="0" applyFont="1" applyFill="1" applyBorder="1" applyAlignment="1">
      <alignment horizontal="left" vertical="center"/>
    </xf>
    <xf numFmtId="0" fontId="156" fillId="0" borderId="35" xfId="0" applyFont="1" applyFill="1" applyBorder="1" applyAlignment="1">
      <alignment horizontal="left" vertical="center"/>
    </xf>
    <xf numFmtId="167" fontId="57" fillId="0" borderId="17" xfId="42" applyNumberFormat="1" applyFont="1" applyFill="1" applyBorder="1" applyAlignment="1">
      <alignment horizontal="center" vertical="center"/>
    </xf>
    <xf numFmtId="167" fontId="57" fillId="0" borderId="34" xfId="42" applyNumberFormat="1" applyFont="1" applyFill="1" applyBorder="1" applyAlignment="1">
      <alignment horizontal="center" vertical="center"/>
    </xf>
    <xf numFmtId="167" fontId="57" fillId="0" borderId="35" xfId="42" applyNumberFormat="1" applyFont="1" applyFill="1" applyBorder="1" applyAlignment="1">
      <alignment horizontal="center" vertical="center"/>
    </xf>
    <xf numFmtId="167" fontId="57" fillId="0" borderId="7" xfId="42" applyNumberFormat="1" applyFont="1" applyFill="1" applyBorder="1" applyAlignment="1">
      <alignment horizontal="center" vertical="center"/>
    </xf>
    <xf numFmtId="0" fontId="156" fillId="10" borderId="7" xfId="0" applyFont="1" applyFill="1" applyBorder="1" applyAlignment="1">
      <alignment horizontal="left" vertical="center" wrapText="1"/>
    </xf>
    <xf numFmtId="3" fontId="37" fillId="0" borderId="7" xfId="78" applyNumberFormat="1" applyFont="1" applyFill="1" applyBorder="1" applyAlignment="1">
      <alignment horizontal="right" vertical="center"/>
      <protection/>
    </xf>
    <xf numFmtId="0" fontId="156" fillId="0" borderId="36" xfId="0" applyFont="1" applyFill="1" applyBorder="1" applyAlignment="1">
      <alignment horizontal="left" vertical="center"/>
    </xf>
    <xf numFmtId="0" fontId="156" fillId="0" borderId="52" xfId="0" applyFont="1" applyFill="1" applyBorder="1" applyAlignment="1">
      <alignment horizontal="left" vertical="center"/>
    </xf>
    <xf numFmtId="0" fontId="156" fillId="0" borderId="47" xfId="0" applyFont="1" applyFill="1" applyBorder="1" applyAlignment="1">
      <alignment horizontal="left" vertical="center"/>
    </xf>
    <xf numFmtId="3" fontId="37" fillId="0" borderId="33" xfId="78" applyNumberFormat="1" applyFont="1" applyFill="1" applyBorder="1" applyAlignment="1">
      <alignment horizontal="right" vertical="center"/>
      <protection/>
    </xf>
    <xf numFmtId="37" fontId="55" fillId="0" borderId="17" xfId="42" applyNumberFormat="1" applyFont="1" applyBorder="1" applyAlignment="1">
      <alignment horizontal="center" vertical="center"/>
    </xf>
    <xf numFmtId="37" fontId="55" fillId="0" borderId="34" xfId="42" applyNumberFormat="1" applyFont="1" applyBorder="1" applyAlignment="1">
      <alignment horizontal="center" vertical="center"/>
    </xf>
    <xf numFmtId="37" fontId="55" fillId="0" borderId="35" xfId="42" applyNumberFormat="1" applyFont="1" applyBorder="1" applyAlignment="1">
      <alignment horizontal="center" vertical="center"/>
    </xf>
    <xf numFmtId="167" fontId="155" fillId="0" borderId="17" xfId="0" applyNumberFormat="1" applyFont="1" applyFill="1" applyBorder="1" applyAlignment="1">
      <alignment horizontal="center" vertical="center"/>
    </xf>
    <xf numFmtId="167" fontId="155" fillId="0" borderId="35" xfId="0" applyNumberFormat="1" applyFont="1" applyFill="1" applyBorder="1" applyAlignment="1">
      <alignment horizontal="center" vertical="center"/>
    </xf>
    <xf numFmtId="37" fontId="155" fillId="0" borderId="34" xfId="0" applyNumberFormat="1" applyFont="1" applyFill="1" applyBorder="1" applyAlignment="1">
      <alignment horizontal="center" vertical="center"/>
    </xf>
    <xf numFmtId="0" fontId="156" fillId="0" borderId="34" xfId="0" applyFont="1" applyFill="1" applyBorder="1" applyAlignment="1">
      <alignment horizontal="left" vertical="center"/>
    </xf>
    <xf numFmtId="0" fontId="157" fillId="9" borderId="7" xfId="0" applyFont="1" applyFill="1" applyBorder="1" applyAlignment="1">
      <alignment horizontal="center"/>
    </xf>
    <xf numFmtId="167" fontId="155" fillId="0" borderId="34" xfId="0" applyNumberFormat="1" applyFont="1" applyFill="1" applyBorder="1" applyAlignment="1">
      <alignment horizontal="center" vertical="center"/>
    </xf>
    <xf numFmtId="169" fontId="156" fillId="0" borderId="17" xfId="0" applyNumberFormat="1" applyFont="1" applyBorder="1" applyAlignment="1">
      <alignment horizontal="left" vertical="center"/>
    </xf>
    <xf numFmtId="169" fontId="156" fillId="0" borderId="35" xfId="0" applyNumberFormat="1" applyFont="1" applyBorder="1" applyAlignment="1">
      <alignment horizontal="left" vertical="center"/>
    </xf>
    <xf numFmtId="0" fontId="157" fillId="9" borderId="33" xfId="0" applyFont="1" applyFill="1" applyBorder="1" applyAlignment="1">
      <alignment horizontal="center" vertical="center" wrapText="1"/>
    </xf>
    <xf numFmtId="0" fontId="157" fillId="9" borderId="40" xfId="0" applyFont="1" applyFill="1" applyBorder="1" applyAlignment="1">
      <alignment horizontal="center" vertical="center" wrapText="1"/>
    </xf>
    <xf numFmtId="0" fontId="157" fillId="9" borderId="23" xfId="0" applyFont="1" applyFill="1" applyBorder="1" applyAlignment="1">
      <alignment horizontal="center"/>
    </xf>
    <xf numFmtId="167" fontId="35" fillId="0" borderId="7" xfId="0" applyNumberFormat="1" applyFont="1" applyFill="1" applyBorder="1" applyAlignment="1">
      <alignment horizontal="center" vertical="center"/>
    </xf>
    <xf numFmtId="167" fontId="37" fillId="0" borderId="7" xfId="0" applyNumberFormat="1" applyFont="1" applyFill="1" applyBorder="1" applyAlignment="1">
      <alignment horizontal="center" vertical="center"/>
    </xf>
    <xf numFmtId="167" fontId="46" fillId="0" borderId="17" xfId="0" applyNumberFormat="1" applyFont="1" applyFill="1" applyBorder="1" applyAlignment="1">
      <alignment horizontal="center" vertical="center"/>
    </xf>
    <xf numFmtId="167" fontId="46" fillId="0" borderId="34" xfId="0" applyNumberFormat="1" applyFont="1" applyFill="1" applyBorder="1" applyAlignment="1">
      <alignment horizontal="center" vertical="center"/>
    </xf>
    <xf numFmtId="167" fontId="46" fillId="0" borderId="35" xfId="0" applyNumberFormat="1" applyFont="1" applyFill="1" applyBorder="1" applyAlignment="1">
      <alignment horizontal="center" vertical="center"/>
    </xf>
    <xf numFmtId="0" fontId="156" fillId="37" borderId="7" xfId="0" applyFont="1" applyFill="1" applyBorder="1" applyAlignment="1">
      <alignment horizontal="left" vertical="center" wrapText="1"/>
    </xf>
    <xf numFmtId="0" fontId="156" fillId="0" borderId="34" xfId="0" applyFont="1" applyFill="1" applyBorder="1" applyAlignment="1">
      <alignment horizontal="left" vertical="center" wrapText="1"/>
    </xf>
    <xf numFmtId="0" fontId="157" fillId="0" borderId="75" xfId="0" applyFont="1" applyBorder="1" applyAlignment="1">
      <alignment horizontal="center"/>
    </xf>
    <xf numFmtId="0" fontId="157" fillId="0" borderId="37" xfId="0" applyFont="1" applyBorder="1" applyAlignment="1">
      <alignment horizontal="center"/>
    </xf>
    <xf numFmtId="0" fontId="157" fillId="0" borderId="38" xfId="0" applyFont="1" applyBorder="1" applyAlignment="1">
      <alignment horizontal="center"/>
    </xf>
    <xf numFmtId="0" fontId="157" fillId="9" borderId="33" xfId="0" applyFont="1" applyFill="1" applyBorder="1" applyAlignment="1">
      <alignment horizontal="center"/>
    </xf>
    <xf numFmtId="0" fontId="157" fillId="9" borderId="82" xfId="0" applyFont="1" applyFill="1" applyBorder="1" applyAlignment="1">
      <alignment horizontal="center"/>
    </xf>
    <xf numFmtId="0" fontId="157" fillId="9" borderId="40" xfId="0" applyFont="1" applyFill="1" applyBorder="1" applyAlignment="1">
      <alignment horizontal="center"/>
    </xf>
    <xf numFmtId="0" fontId="157" fillId="9" borderId="47" xfId="0" applyFont="1" applyFill="1" applyBorder="1" applyAlignment="1">
      <alignment horizontal="center"/>
    </xf>
    <xf numFmtId="167" fontId="23" fillId="0" borderId="29" xfId="0" applyNumberFormat="1" applyFont="1" applyFill="1" applyBorder="1" applyAlignment="1">
      <alignment horizontal="center" vertical="center"/>
    </xf>
    <xf numFmtId="167" fontId="23" fillId="0" borderId="28" xfId="0" applyNumberFormat="1" applyFont="1" applyFill="1" applyBorder="1" applyAlignment="1">
      <alignment horizontal="center" vertical="center"/>
    </xf>
    <xf numFmtId="167" fontId="23" fillId="0" borderId="44" xfId="0" applyNumberFormat="1" applyFont="1" applyFill="1" applyBorder="1" applyAlignment="1">
      <alignment horizontal="center" vertical="center"/>
    </xf>
    <xf numFmtId="0" fontId="145" fillId="0" borderId="80" xfId="0" applyFont="1" applyBorder="1" applyAlignment="1">
      <alignment horizontal="center" vertical="center" wrapText="1"/>
    </xf>
    <xf numFmtId="0" fontId="145" fillId="0" borderId="79" xfId="0" applyFont="1" applyBorder="1" applyAlignment="1">
      <alignment horizontal="center" vertical="center" wrapText="1"/>
    </xf>
    <xf numFmtId="0" fontId="145" fillId="0" borderId="7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204" fillId="0" borderId="0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 wrapText="1"/>
    </xf>
    <xf numFmtId="0" fontId="48" fillId="0" borderId="82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174" fillId="0" borderId="28" xfId="0" applyFont="1" applyBorder="1" applyAlignment="1">
      <alignment horizontal="center" vertical="center"/>
    </xf>
    <xf numFmtId="0" fontId="174" fillId="0" borderId="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33" borderId="9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63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0" fillId="0" borderId="33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45" fillId="0" borderId="7" xfId="0" applyFont="1" applyBorder="1" applyAlignment="1">
      <alignment horizontal="center" vertical="center" wrapText="1"/>
    </xf>
    <xf numFmtId="0" fontId="146" fillId="0" borderId="7" xfId="0" applyFont="1" applyBorder="1" applyAlignment="1">
      <alignment horizontal="center" vertical="center" wrapText="1"/>
    </xf>
    <xf numFmtId="0" fontId="145" fillId="0" borderId="0" xfId="0" applyFont="1" applyBorder="1" applyAlignment="1">
      <alignment horizontal="center" vertical="center" wrapText="1"/>
    </xf>
    <xf numFmtId="0" fontId="11" fillId="19" borderId="7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 vertical="center"/>
    </xf>
    <xf numFmtId="0" fontId="11" fillId="19" borderId="7" xfId="0" applyFont="1" applyFill="1" applyBorder="1" applyAlignment="1">
      <alignment horizontal="center" vertical="center" textRotation="90"/>
    </xf>
    <xf numFmtId="0" fontId="11" fillId="16" borderId="7" xfId="0" applyFont="1" applyFill="1" applyBorder="1" applyAlignment="1">
      <alignment horizontal="center"/>
    </xf>
    <xf numFmtId="0" fontId="11" fillId="17" borderId="7" xfId="0" applyFont="1" applyFill="1" applyBorder="1" applyAlignment="1">
      <alignment horizontal="center"/>
    </xf>
    <xf numFmtId="0" fontId="200" fillId="0" borderId="41" xfId="0" applyFont="1" applyBorder="1" applyAlignment="1">
      <alignment horizontal="center"/>
    </xf>
    <xf numFmtId="0" fontId="200" fillId="0" borderId="49" xfId="0" applyFont="1" applyBorder="1" applyAlignment="1">
      <alignment horizontal="center"/>
    </xf>
    <xf numFmtId="0" fontId="33" fillId="0" borderId="76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60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0" fontId="33" fillId="0" borderId="59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2" fontId="33" fillId="0" borderId="60" xfId="0" applyNumberFormat="1" applyFont="1" applyFill="1" applyBorder="1" applyAlignment="1">
      <alignment horizontal="center" vertical="center"/>
    </xf>
    <xf numFmtId="2" fontId="33" fillId="0" borderId="34" xfId="0" applyNumberFormat="1" applyFont="1" applyFill="1" applyBorder="1" applyAlignment="1">
      <alignment horizontal="center" vertical="center"/>
    </xf>
    <xf numFmtId="2" fontId="33" fillId="0" borderId="56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83" fillId="0" borderId="61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153" fillId="0" borderId="53" xfId="0" applyFont="1" applyFill="1" applyBorder="1" applyAlignment="1">
      <alignment horizontal="center" vertical="center" textRotation="90"/>
    </xf>
    <xf numFmtId="0" fontId="153" fillId="0" borderId="22" xfId="0" applyFont="1" applyFill="1" applyBorder="1" applyAlignment="1">
      <alignment horizontal="center" vertical="center" textRotation="90"/>
    </xf>
    <xf numFmtId="0" fontId="153" fillId="0" borderId="73" xfId="0" applyFont="1" applyFill="1" applyBorder="1" applyAlignment="1">
      <alignment horizontal="center" vertical="center" textRotation="90"/>
    </xf>
    <xf numFmtId="167" fontId="153" fillId="0" borderId="74" xfId="0" applyNumberFormat="1" applyFont="1" applyFill="1" applyBorder="1" applyAlignment="1">
      <alignment vertical="center"/>
    </xf>
    <xf numFmtId="167" fontId="153" fillId="0" borderId="65" xfId="0" applyNumberFormat="1" applyFont="1" applyFill="1" applyBorder="1" applyAlignment="1">
      <alignment vertical="center"/>
    </xf>
    <xf numFmtId="167" fontId="153" fillId="0" borderId="75" xfId="0" applyNumberFormat="1" applyFont="1" applyFill="1" applyBorder="1" applyAlignment="1">
      <alignment vertical="center"/>
    </xf>
    <xf numFmtId="167" fontId="153" fillId="0" borderId="38" xfId="0" applyNumberFormat="1" applyFont="1" applyFill="1" applyBorder="1" applyAlignment="1">
      <alignment vertical="center"/>
    </xf>
    <xf numFmtId="167" fontId="153" fillId="0" borderId="37" xfId="0" applyNumberFormat="1" applyFont="1" applyFill="1" applyBorder="1" applyAlignment="1">
      <alignment vertical="center"/>
    </xf>
    <xf numFmtId="0" fontId="153" fillId="0" borderId="18" xfId="0" applyFont="1" applyFill="1" applyBorder="1" applyAlignment="1">
      <alignment horizontal="center" vertical="center" textRotation="90"/>
    </xf>
    <xf numFmtId="0" fontId="153" fillId="0" borderId="20" xfId="0" applyFont="1" applyFill="1" applyBorder="1" applyAlignment="1">
      <alignment horizontal="center" vertical="center" textRotation="90"/>
    </xf>
    <xf numFmtId="0" fontId="153" fillId="0" borderId="26" xfId="0" applyFont="1" applyFill="1" applyBorder="1" applyAlignment="1">
      <alignment horizontal="center" vertical="center" textRotation="90"/>
    </xf>
    <xf numFmtId="0" fontId="153" fillId="0" borderId="29" xfId="0" applyFont="1" applyFill="1" applyBorder="1" applyAlignment="1">
      <alignment horizontal="center" vertical="center" textRotation="90"/>
    </xf>
    <xf numFmtId="0" fontId="153" fillId="0" borderId="98" xfId="0" applyFont="1" applyFill="1" applyBorder="1" applyAlignment="1">
      <alignment horizontal="center" vertical="center" textRotation="90" wrapText="1"/>
    </xf>
    <xf numFmtId="0" fontId="153" fillId="0" borderId="99" xfId="0" applyFont="1" applyFill="1" applyBorder="1" applyAlignment="1">
      <alignment horizontal="center" vertical="center" textRotation="90" wrapText="1"/>
    </xf>
    <xf numFmtId="0" fontId="153" fillId="0" borderId="100" xfId="0" applyFont="1" applyFill="1" applyBorder="1" applyAlignment="1">
      <alignment horizontal="center" vertical="center" textRotation="90" wrapText="1"/>
    </xf>
    <xf numFmtId="0" fontId="153" fillId="0" borderId="101" xfId="0" applyFont="1" applyFill="1" applyBorder="1" applyAlignment="1">
      <alignment horizontal="center" vertical="center" textRotation="90" wrapText="1"/>
    </xf>
    <xf numFmtId="0" fontId="153" fillId="0" borderId="14" xfId="0" applyFont="1" applyFill="1" applyBorder="1" applyAlignment="1">
      <alignment horizontal="center" vertical="center" textRotation="90"/>
    </xf>
    <xf numFmtId="0" fontId="153" fillId="0" borderId="97" xfId="0" applyFont="1" applyFill="1" applyBorder="1" applyAlignment="1">
      <alignment horizontal="center" vertical="center" textRotation="90"/>
    </xf>
    <xf numFmtId="0" fontId="153" fillId="0" borderId="72" xfId="0" applyFont="1" applyFill="1" applyBorder="1" applyAlignment="1">
      <alignment horizontal="center" vertical="center" textRotation="90"/>
    </xf>
    <xf numFmtId="0" fontId="153" fillId="0" borderId="14" xfId="0" applyFont="1" applyFill="1" applyBorder="1" applyAlignment="1">
      <alignment horizontal="center" vertical="center" wrapText="1"/>
    </xf>
    <xf numFmtId="0" fontId="153" fillId="0" borderId="53" xfId="0" applyFont="1" applyFill="1" applyBorder="1" applyAlignment="1">
      <alignment horizontal="center" vertical="center" wrapText="1"/>
    </xf>
    <xf numFmtId="43" fontId="153" fillId="0" borderId="96" xfId="0" applyNumberFormat="1" applyFont="1" applyFill="1" applyBorder="1" applyAlignment="1">
      <alignment horizontal="center" vertical="center" textRotation="90"/>
    </xf>
    <xf numFmtId="43" fontId="153" fillId="0" borderId="73" xfId="0" applyNumberFormat="1" applyFont="1" applyFill="1" applyBorder="1" applyAlignment="1">
      <alignment horizontal="center" vertical="center" textRotation="90"/>
    </xf>
    <xf numFmtId="43" fontId="153" fillId="0" borderId="14" xfId="0" applyNumberFormat="1" applyFont="1" applyFill="1" applyBorder="1" applyAlignment="1">
      <alignment horizontal="center" vertical="center" textRotation="90"/>
    </xf>
    <xf numFmtId="43" fontId="153" fillId="0" borderId="53" xfId="0" applyNumberFormat="1" applyFont="1" applyFill="1" applyBorder="1" applyAlignment="1">
      <alignment horizontal="center" vertical="center" textRotation="90"/>
    </xf>
    <xf numFmtId="0" fontId="153" fillId="0" borderId="74" xfId="0" applyFont="1" applyFill="1" applyBorder="1" applyAlignment="1">
      <alignment horizontal="center"/>
    </xf>
    <xf numFmtId="0" fontId="153" fillId="0" borderId="65" xfId="0" applyFont="1" applyFill="1" applyBorder="1" applyAlignment="1">
      <alignment horizontal="center"/>
    </xf>
    <xf numFmtId="0" fontId="153" fillId="0" borderId="72" xfId="0" applyFont="1" applyFill="1" applyBorder="1" applyAlignment="1">
      <alignment horizontal="center"/>
    </xf>
    <xf numFmtId="0" fontId="153" fillId="0" borderId="0" xfId="0" applyFont="1" applyFill="1" applyBorder="1" applyAlignment="1">
      <alignment horizontal="center"/>
    </xf>
    <xf numFmtId="43" fontId="153" fillId="0" borderId="102" xfId="42" applyFont="1" applyFill="1" applyBorder="1" applyAlignment="1">
      <alignment horizontal="center"/>
    </xf>
    <xf numFmtId="43" fontId="153" fillId="0" borderId="103" xfId="42" applyFont="1" applyFill="1" applyBorder="1" applyAlignment="1">
      <alignment horizontal="center"/>
    </xf>
    <xf numFmtId="0" fontId="153" fillId="0" borderId="98" xfId="0" applyFont="1" applyFill="1" applyBorder="1" applyAlignment="1">
      <alignment horizontal="center" vertical="center" textRotation="90"/>
    </xf>
    <xf numFmtId="0" fontId="153" fillId="0" borderId="99" xfId="0" applyFont="1" applyFill="1" applyBorder="1" applyAlignment="1">
      <alignment horizontal="center" vertical="center" textRotation="90"/>
    </xf>
    <xf numFmtId="0" fontId="153" fillId="0" borderId="104" xfId="0" applyFont="1" applyFill="1" applyBorder="1" applyAlignment="1">
      <alignment horizontal="center" vertical="center" textRotation="90"/>
    </xf>
    <xf numFmtId="0" fontId="153" fillId="0" borderId="105" xfId="0" applyFont="1" applyFill="1" applyBorder="1" applyAlignment="1">
      <alignment horizontal="center" vertical="center" textRotation="90"/>
    </xf>
    <xf numFmtId="0" fontId="205" fillId="0" borderId="75" xfId="0" applyFont="1" applyFill="1" applyBorder="1" applyAlignment="1">
      <alignment horizontal="center" vertical="center"/>
    </xf>
    <xf numFmtId="0" fontId="205" fillId="0" borderId="37" xfId="0" applyFont="1" applyFill="1" applyBorder="1" applyAlignment="1">
      <alignment horizontal="center" vertical="center"/>
    </xf>
    <xf numFmtId="0" fontId="205" fillId="0" borderId="38" xfId="0" applyFont="1" applyFill="1" applyBorder="1" applyAlignment="1">
      <alignment horizontal="center" vertical="center"/>
    </xf>
    <xf numFmtId="0" fontId="153" fillId="0" borderId="14" xfId="0" applyFont="1" applyFill="1" applyBorder="1" applyAlignment="1">
      <alignment vertical="center" textRotation="90"/>
    </xf>
    <xf numFmtId="0" fontId="153" fillId="0" borderId="53" xfId="0" applyFont="1" applyFill="1" applyBorder="1" applyAlignment="1">
      <alignment vertical="center" textRotation="90"/>
    </xf>
    <xf numFmtId="0" fontId="153" fillId="0" borderId="22" xfId="0" applyFont="1" applyFill="1" applyBorder="1" applyAlignment="1">
      <alignment horizontal="center" vertical="center" wrapText="1"/>
    </xf>
    <xf numFmtId="0" fontId="206" fillId="0" borderId="0" xfId="0" applyFont="1" applyAlignment="1">
      <alignment horizontal="center"/>
    </xf>
    <xf numFmtId="1" fontId="23" fillId="0" borderId="7" xfId="0" applyNumberFormat="1" applyFont="1" applyBorder="1" applyAlignment="1">
      <alignment horizontal="center" vertical="center"/>
    </xf>
    <xf numFmtId="0" fontId="34" fillId="0" borderId="97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9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/>
    </xf>
    <xf numFmtId="0" fontId="42" fillId="0" borderId="7" xfId="0" applyFont="1" applyFill="1" applyBorder="1" applyAlignment="1">
      <alignment horizontal="center" vertical="center"/>
    </xf>
    <xf numFmtId="0" fontId="163" fillId="0" borderId="33" xfId="0" applyFont="1" applyFill="1" applyBorder="1" applyAlignment="1">
      <alignment horizontal="center"/>
    </xf>
    <xf numFmtId="0" fontId="163" fillId="0" borderId="40" xfId="0" applyFont="1" applyFill="1" applyBorder="1" applyAlignment="1">
      <alignment horizontal="center"/>
    </xf>
    <xf numFmtId="0" fontId="163" fillId="0" borderId="23" xfId="0" applyFont="1" applyFill="1" applyBorder="1" applyAlignment="1">
      <alignment horizontal="center"/>
    </xf>
    <xf numFmtId="1" fontId="21" fillId="0" borderId="75" xfId="0" applyNumberFormat="1" applyFont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207" fillId="0" borderId="97" xfId="0" applyFont="1" applyBorder="1" applyAlignment="1">
      <alignment horizontal="center" vertical="center" wrapText="1"/>
    </xf>
    <xf numFmtId="0" fontId="178" fillId="0" borderId="96" xfId="0" applyFont="1" applyBorder="1" applyAlignment="1">
      <alignment horizontal="center" vertical="center" wrapText="1"/>
    </xf>
    <xf numFmtId="0" fontId="178" fillId="0" borderId="72" xfId="0" applyFont="1" applyBorder="1" applyAlignment="1">
      <alignment horizontal="center" vertical="center" wrapText="1"/>
    </xf>
    <xf numFmtId="0" fontId="178" fillId="0" borderId="73" xfId="0" applyFont="1" applyBorder="1" applyAlignment="1">
      <alignment horizontal="center" vertical="center" wrapText="1"/>
    </xf>
    <xf numFmtId="0" fontId="178" fillId="0" borderId="74" xfId="0" applyFont="1" applyBorder="1" applyAlignment="1">
      <alignment horizontal="center" vertical="center" wrapText="1"/>
    </xf>
    <xf numFmtId="0" fontId="178" fillId="0" borderId="65" xfId="0" applyFont="1" applyBorder="1" applyAlignment="1">
      <alignment horizontal="center" vertical="center" wrapText="1"/>
    </xf>
    <xf numFmtId="0" fontId="208" fillId="0" borderId="75" xfId="0" applyFont="1" applyFill="1" applyBorder="1" applyAlignment="1">
      <alignment horizontal="right" vertical="center" wrapText="1"/>
    </xf>
    <xf numFmtId="0" fontId="208" fillId="0" borderId="38" xfId="0" applyFont="1" applyFill="1" applyBorder="1" applyAlignment="1">
      <alignment horizontal="right" vertical="center" wrapText="1"/>
    </xf>
    <xf numFmtId="0" fontId="208" fillId="0" borderId="75" xfId="0" applyFont="1" applyFill="1" applyBorder="1" applyAlignment="1">
      <alignment horizontal="right" vertical="center"/>
    </xf>
    <xf numFmtId="0" fontId="208" fillId="0" borderId="38" xfId="0" applyFont="1" applyFill="1" applyBorder="1" applyAlignment="1">
      <alignment horizontal="right" vertical="center"/>
    </xf>
    <xf numFmtId="1" fontId="106" fillId="0" borderId="75" xfId="0" applyNumberFormat="1" applyFont="1" applyBorder="1" applyAlignment="1">
      <alignment horizontal="center" vertical="center"/>
    </xf>
    <xf numFmtId="1" fontId="106" fillId="0" borderId="38" xfId="0" applyNumberFormat="1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95" xfId="0" applyFont="1" applyBorder="1" applyAlignment="1">
      <alignment horizontal="center" vertical="center"/>
    </xf>
    <xf numFmtId="0" fontId="152" fillId="38" borderId="60" xfId="0" applyFont="1" applyFill="1" applyBorder="1" applyAlignment="1">
      <alignment horizontal="center" vertical="center"/>
    </xf>
    <xf numFmtId="0" fontId="152" fillId="38" borderId="34" xfId="0" applyFont="1" applyFill="1" applyBorder="1" applyAlignment="1">
      <alignment horizontal="center" vertical="center"/>
    </xf>
    <xf numFmtId="0" fontId="152" fillId="38" borderId="56" xfId="0" applyFont="1" applyFill="1" applyBorder="1" applyAlignment="1">
      <alignment horizontal="center" vertical="center"/>
    </xf>
    <xf numFmtId="0" fontId="152" fillId="0" borderId="60" xfId="0" applyFont="1" applyBorder="1" applyAlignment="1">
      <alignment horizontal="center" vertical="center" wrapText="1"/>
    </xf>
    <xf numFmtId="0" fontId="152" fillId="0" borderId="34" xfId="0" applyFont="1" applyBorder="1" applyAlignment="1">
      <alignment horizontal="center" vertical="center" wrapText="1"/>
    </xf>
    <xf numFmtId="0" fontId="152" fillId="0" borderId="35" xfId="0" applyFont="1" applyBorder="1" applyAlignment="1">
      <alignment horizontal="center" vertical="center" wrapText="1"/>
    </xf>
    <xf numFmtId="0" fontId="152" fillId="0" borderId="56" xfId="0" applyFont="1" applyBorder="1" applyAlignment="1">
      <alignment horizontal="center" vertical="center" wrapText="1"/>
    </xf>
    <xf numFmtId="0" fontId="35" fillId="0" borderId="94" xfId="0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 wrapText="1"/>
    </xf>
    <xf numFmtId="0" fontId="152" fillId="0" borderId="34" xfId="0" applyFont="1" applyFill="1" applyBorder="1" applyAlignment="1">
      <alignment horizontal="center" vertical="center" wrapText="1"/>
    </xf>
    <xf numFmtId="0" fontId="152" fillId="0" borderId="17" xfId="0" applyFont="1" applyFill="1" applyBorder="1" applyAlignment="1">
      <alignment horizontal="center" vertical="center" wrapText="1"/>
    </xf>
    <xf numFmtId="0" fontId="152" fillId="0" borderId="56" xfId="0" applyFont="1" applyFill="1" applyBorder="1" applyAlignment="1">
      <alignment horizontal="center" vertical="center" wrapText="1"/>
    </xf>
    <xf numFmtId="0" fontId="152" fillId="0" borderId="27" xfId="0" applyFont="1" applyBorder="1" applyAlignment="1">
      <alignment horizontal="center" vertical="center" wrapText="1"/>
    </xf>
    <xf numFmtId="0" fontId="152" fillId="0" borderId="28" xfId="0" applyFont="1" applyBorder="1" applyAlignment="1">
      <alignment horizontal="center" vertical="center" wrapText="1"/>
    </xf>
    <xf numFmtId="0" fontId="152" fillId="0" borderId="44" xfId="0" applyFont="1" applyBorder="1" applyAlignment="1">
      <alignment horizontal="center" vertical="center" wrapText="1"/>
    </xf>
    <xf numFmtId="0" fontId="152" fillId="0" borderId="29" xfId="0" applyFont="1" applyFill="1" applyBorder="1" applyAlignment="1">
      <alignment horizontal="center" vertical="center" wrapText="1"/>
    </xf>
    <xf numFmtId="0" fontId="152" fillId="0" borderId="28" xfId="0" applyFont="1" applyFill="1" applyBorder="1" applyAlignment="1">
      <alignment horizontal="center" vertical="center" wrapText="1"/>
    </xf>
    <xf numFmtId="0" fontId="152" fillId="0" borderId="31" xfId="0" applyFont="1" applyFill="1" applyBorder="1" applyAlignment="1">
      <alignment horizontal="center" vertical="center" wrapText="1"/>
    </xf>
    <xf numFmtId="0" fontId="35" fillId="0" borderId="97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152" fillId="0" borderId="14" xfId="0" applyFont="1" applyFill="1" applyBorder="1" applyAlignment="1">
      <alignment horizontal="center" vertical="center"/>
    </xf>
    <xf numFmtId="0" fontId="152" fillId="0" borderId="53" xfId="0" applyFont="1" applyFill="1" applyBorder="1" applyAlignment="1">
      <alignment horizontal="center" vertical="center"/>
    </xf>
    <xf numFmtId="0" fontId="152" fillId="0" borderId="22" xfId="0" applyFont="1" applyFill="1" applyBorder="1" applyAlignment="1">
      <alignment horizontal="center" vertical="center"/>
    </xf>
    <xf numFmtId="0" fontId="152" fillId="0" borderId="69" xfId="0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horizontal="center" vertical="center" wrapText="1"/>
    </xf>
    <xf numFmtId="0" fontId="152" fillId="0" borderId="82" xfId="0" applyFont="1" applyFill="1" applyBorder="1" applyAlignment="1">
      <alignment horizontal="center" vertical="center" wrapText="1"/>
    </xf>
    <xf numFmtId="0" fontId="152" fillId="0" borderId="20" xfId="0" applyFont="1" applyFill="1" applyBorder="1" applyAlignment="1">
      <alignment horizontal="center" vertical="center" wrapText="1"/>
    </xf>
    <xf numFmtId="0" fontId="152" fillId="0" borderId="50" xfId="0" applyFont="1" applyFill="1" applyBorder="1" applyAlignment="1">
      <alignment horizontal="center" vertical="center" wrapText="1"/>
    </xf>
    <xf numFmtId="0" fontId="152" fillId="0" borderId="95" xfId="0" applyFont="1" applyFill="1" applyBorder="1" applyAlignment="1">
      <alignment horizontal="center" vertical="center" wrapText="1"/>
    </xf>
    <xf numFmtId="0" fontId="35" fillId="38" borderId="94" xfId="0" applyFont="1" applyFill="1" applyBorder="1" applyAlignment="1">
      <alignment horizontal="center" vertical="center"/>
    </xf>
    <xf numFmtId="0" fontId="35" fillId="38" borderId="50" xfId="0" applyFont="1" applyFill="1" applyBorder="1" applyAlignment="1">
      <alignment horizontal="center" vertical="center"/>
    </xf>
    <xf numFmtId="0" fontId="35" fillId="38" borderId="95" xfId="0" applyFont="1" applyFill="1" applyBorder="1" applyAlignment="1">
      <alignment horizontal="center" vertical="center"/>
    </xf>
    <xf numFmtId="0" fontId="152" fillId="0" borderId="17" xfId="0" applyFont="1" applyBorder="1" applyAlignment="1">
      <alignment horizontal="center" vertical="center" wrapText="1"/>
    </xf>
    <xf numFmtId="0" fontId="58" fillId="0" borderId="6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56" xfId="0" applyFont="1" applyFill="1" applyBorder="1" applyAlignment="1">
      <alignment horizontal="center" vertical="center"/>
    </xf>
    <xf numFmtId="0" fontId="152" fillId="0" borderId="60" xfId="0" applyFont="1" applyFill="1" applyBorder="1" applyAlignment="1">
      <alignment horizontal="center" vertical="center"/>
    </xf>
    <xf numFmtId="0" fontId="152" fillId="0" borderId="34" xfId="0" applyFont="1" applyFill="1" applyBorder="1" applyAlignment="1">
      <alignment horizontal="center" vertical="center"/>
    </xf>
    <xf numFmtId="0" fontId="152" fillId="0" borderId="56" xfId="0" applyFont="1" applyFill="1" applyBorder="1" applyAlignment="1">
      <alignment horizontal="center" vertical="center"/>
    </xf>
    <xf numFmtId="0" fontId="58" fillId="38" borderId="60" xfId="0" applyFont="1" applyFill="1" applyBorder="1" applyAlignment="1">
      <alignment horizontal="center" vertical="center" wrapText="1"/>
    </xf>
    <xf numFmtId="0" fontId="58" fillId="38" borderId="34" xfId="0" applyFont="1" applyFill="1" applyBorder="1" applyAlignment="1">
      <alignment horizontal="center" vertical="center" wrapText="1"/>
    </xf>
    <xf numFmtId="0" fontId="58" fillId="38" borderId="56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152" fillId="0" borderId="67" xfId="0" applyFont="1" applyBorder="1" applyAlignment="1">
      <alignment horizontal="center" vertical="center"/>
    </xf>
    <xf numFmtId="0" fontId="58" fillId="0" borderId="60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153" fillId="0" borderId="33" xfId="0" applyFont="1" applyBorder="1" applyAlignment="1">
      <alignment horizontal="center" vertical="center"/>
    </xf>
    <xf numFmtId="0" fontId="153" fillId="0" borderId="40" xfId="0" applyFont="1" applyBorder="1" applyAlignment="1">
      <alignment horizontal="center" vertical="center"/>
    </xf>
    <xf numFmtId="0" fontId="153" fillId="0" borderId="23" xfId="0" applyFont="1" applyBorder="1" applyAlignment="1">
      <alignment horizontal="center" vertical="center"/>
    </xf>
    <xf numFmtId="0" fontId="153" fillId="0" borderId="17" xfId="0" applyFont="1" applyBorder="1" applyAlignment="1">
      <alignment horizontal="center" vertical="center"/>
    </xf>
    <xf numFmtId="0" fontId="153" fillId="0" borderId="35" xfId="0" applyFont="1" applyBorder="1" applyAlignment="1">
      <alignment horizontal="center" vertical="center"/>
    </xf>
    <xf numFmtId="0" fontId="153" fillId="0" borderId="17" xfId="0" applyFont="1" applyBorder="1" applyAlignment="1">
      <alignment horizontal="center" vertical="center" textRotation="90" wrapText="1"/>
    </xf>
    <xf numFmtId="0" fontId="153" fillId="0" borderId="34" xfId="0" applyFont="1" applyBorder="1" applyAlignment="1">
      <alignment horizontal="center" vertical="center" textRotation="90" wrapText="1"/>
    </xf>
    <xf numFmtId="0" fontId="153" fillId="0" borderId="35" xfId="0" applyFont="1" applyBorder="1" applyAlignment="1">
      <alignment horizontal="center" vertical="center" textRotation="90" wrapText="1"/>
    </xf>
    <xf numFmtId="0" fontId="23" fillId="39" borderId="33" xfId="0" applyFont="1" applyFill="1" applyBorder="1" applyAlignment="1">
      <alignment horizontal="center" vertical="center"/>
    </xf>
    <xf numFmtId="0" fontId="23" fillId="39" borderId="23" xfId="0" applyFont="1" applyFill="1" applyBorder="1" applyAlignment="1">
      <alignment horizontal="center" vertical="center"/>
    </xf>
    <xf numFmtId="0" fontId="153" fillId="0" borderId="82" xfId="0" applyFont="1" applyBorder="1" applyAlignment="1">
      <alignment horizontal="left"/>
    </xf>
    <xf numFmtId="0" fontId="157" fillId="0" borderId="7" xfId="0" applyFont="1" applyBorder="1" applyAlignment="1">
      <alignment vertical="center"/>
    </xf>
    <xf numFmtId="0" fontId="157" fillId="0" borderId="7" xfId="0" applyFont="1" applyBorder="1" applyAlignment="1">
      <alignment horizontal="center" vertical="center"/>
    </xf>
    <xf numFmtId="0" fontId="156" fillId="0" borderId="17" xfId="0" applyFont="1" applyBorder="1" applyAlignment="1">
      <alignment horizontal="center" vertical="center"/>
    </xf>
    <xf numFmtId="0" fontId="156" fillId="0" borderId="34" xfId="0" applyFont="1" applyBorder="1" applyAlignment="1">
      <alignment horizontal="center" vertical="center"/>
    </xf>
    <xf numFmtId="0" fontId="35" fillId="39" borderId="17" xfId="0" applyFont="1" applyFill="1" applyBorder="1" applyAlignment="1">
      <alignment horizontal="center" vertical="center"/>
    </xf>
    <xf numFmtId="0" fontId="35" fillId="39" borderId="35" xfId="0" applyFont="1" applyFill="1" applyBorder="1" applyAlignment="1">
      <alignment horizontal="center" vertical="center"/>
    </xf>
    <xf numFmtId="0" fontId="156" fillId="0" borderId="35" xfId="0" applyFont="1" applyBorder="1" applyAlignment="1">
      <alignment horizontal="center" vertical="center"/>
    </xf>
    <xf numFmtId="0" fontId="142" fillId="0" borderId="7" xfId="0" applyFont="1" applyBorder="1" applyAlignment="1">
      <alignment horizontal="center" vertical="center" textRotation="90" wrapText="1"/>
    </xf>
    <xf numFmtId="0" fontId="142" fillId="0" borderId="7" xfId="0" applyFont="1" applyBorder="1" applyAlignment="1">
      <alignment horizontal="center"/>
    </xf>
    <xf numFmtId="0" fontId="46" fillId="0" borderId="17" xfId="79" applyFont="1" applyFill="1" applyBorder="1" applyAlignment="1">
      <alignment horizontal="left" vertical="center"/>
      <protection/>
    </xf>
    <xf numFmtId="0" fontId="46" fillId="0" borderId="35" xfId="79" applyFont="1" applyFill="1" applyBorder="1" applyAlignment="1">
      <alignment horizontal="left" vertical="center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0" xfId="48"/>
    <cellStyle name="Comma 2 3" xfId="49"/>
    <cellStyle name="Comma 2 4" xfId="50"/>
    <cellStyle name="Comma 2 5" xfId="51"/>
    <cellStyle name="Comma 3" xfId="52"/>
    <cellStyle name="Comma 3 2" xfId="53"/>
    <cellStyle name="Comma 4" xfId="54"/>
    <cellStyle name="Comma 4 2" xfId="55"/>
    <cellStyle name="Comma 4 3" xfId="56"/>
    <cellStyle name="Comma 4 3 2" xfId="57"/>
    <cellStyle name="Comma 4 3 3" xfId="58"/>
    <cellStyle name="Comma 4 3 3 2" xfId="59"/>
    <cellStyle name="Comma 4 3 3 3" xfId="60"/>
    <cellStyle name="Comma 4 4" xfId="61"/>
    <cellStyle name="Comma 5" xfId="62"/>
    <cellStyle name="Comma 6" xfId="63"/>
    <cellStyle name="Comma 6 2" xfId="64"/>
    <cellStyle name="Comma 6 2 2" xfId="65"/>
    <cellStyle name="Currency" xfId="66"/>
    <cellStyle name="Currency [0]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Linked Cell" xfId="75"/>
    <cellStyle name="Neutral" xfId="76"/>
    <cellStyle name="Normal 13" xfId="77"/>
    <cellStyle name="Normal 2" xfId="78"/>
    <cellStyle name="Normal 2 2" xfId="79"/>
    <cellStyle name="Normal 2 3" xfId="80"/>
    <cellStyle name="Normal 2 4" xfId="81"/>
    <cellStyle name="Normal 2 5" xfId="82"/>
    <cellStyle name="Normal 3" xfId="83"/>
    <cellStyle name="Normal 3 2" xfId="84"/>
    <cellStyle name="Normal 3 2 2" xfId="85"/>
    <cellStyle name="Normal_20_2" xfId="86"/>
    <cellStyle name="Normal_Sheet1" xfId="87"/>
    <cellStyle name="Note" xfId="88"/>
    <cellStyle name="Output" xfId="89"/>
    <cellStyle name="Percent" xfId="90"/>
    <cellStyle name="Percent 2" xfId="91"/>
    <cellStyle name="Percent 2 2" xfId="92"/>
    <cellStyle name="Percent 3" xfId="93"/>
    <cellStyle name="Percent 4" xfId="94"/>
    <cellStyle name="Title" xfId="95"/>
    <cellStyle name="Total" xfId="96"/>
    <cellStyle name="Warning Text" xfId="9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NIVELI I FIERZES GJATE 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KRAHESUAR ME (Min,Maks dhe Mesataren historike) (m)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075"/>
          <c:w val="0.974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'Niv.Fierz.2022'!$A$37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C6D9F1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'Niv.Fierz.2022'!$B$37:$M$37</c:f>
              <c:numCache/>
            </c:numRef>
          </c:val>
          <c:smooth val="0"/>
        </c:ser>
        <c:ser>
          <c:idx val="1"/>
          <c:order val="1"/>
          <c:tx>
            <c:strRef>
              <c:f>'Niv.Fierz.2022'!$A$38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'Niv.Fierz.2022'!$B$38:$M$38</c:f>
              <c:numCache/>
            </c:numRef>
          </c:val>
          <c:smooth val="0"/>
        </c:ser>
        <c:ser>
          <c:idx val="2"/>
          <c:order val="2"/>
          <c:tx>
            <c:strRef>
              <c:f>'Niv.Fierz.2022'!$A$39</c:f>
              <c:strCache>
                <c:ptCount val="1"/>
                <c:pt idx="0">
                  <c:v>Minimumi</c:v>
                </c:pt>
              </c:strCache>
            </c:strRef>
          </c:tx>
          <c:spPr>
            <a:ln w="254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'Niv.Fierz.2022'!$B$39:$M$39</c:f>
              <c:numCache/>
            </c:numRef>
          </c:val>
          <c:smooth val="0"/>
        </c:ser>
        <c:ser>
          <c:idx val="3"/>
          <c:order val="3"/>
          <c:tx>
            <c:strRef>
              <c:f>'Niv.Fierz.2022'!$A$40</c:f>
              <c:strCache>
                <c:ptCount val="1"/>
                <c:pt idx="0">
                  <c:v>Maksimumi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'Niv.Fierz.2022'!$B$36:$M$36</c:f>
              <c:strCache/>
            </c:strRef>
          </c:cat>
          <c:val>
            <c:numRef>
              <c:f>'Niv.Fierz.2022'!$B$40:$M$40</c:f>
              <c:numCache/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  <c:max val="300"/>
          <c:min val="2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09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6F9FC"/>
        </a:gs>
        <a:gs pos="74001">
          <a:srgbClr val="B0C6E1"/>
        </a:gs>
        <a:gs pos="83000">
          <a:srgbClr val="B0C6E1"/>
        </a:gs>
        <a:gs pos="100000">
          <a:srgbClr val="CAD9EB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0025"/>
          <c:w val="0.9935"/>
          <c:h val="0.971"/>
        </c:manualLayout>
      </c:layout>
      <c:lineChart>
        <c:grouping val="standard"/>
        <c:varyColors val="0"/>
        <c:ser>
          <c:idx val="0"/>
          <c:order val="0"/>
          <c:tx>
            <c:strRef>
              <c:f>'grafiku Humbjeve 2012-2022'!$A$4</c:f>
              <c:strCache>
                <c:ptCount val="1"/>
                <c:pt idx="0">
                  <c:v>Humbjet teknike ne nenstacionet e TL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2012-2022'!$B$4:$EC$4</c:f>
              <c:numCache/>
            </c:numRef>
          </c:val>
          <c:smooth val="0"/>
        </c:ser>
        <c:ser>
          <c:idx val="1"/>
          <c:order val="1"/>
          <c:tx>
            <c:strRef>
              <c:f>'grafiku Humbjeve 2012-2022'!$A$5</c:f>
              <c:strCache>
                <c:ptCount val="1"/>
                <c:pt idx="0">
                  <c:v>Humbjet teknike në zonat e shpërndarjes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2012-2022'!$B$5:$EC$5</c:f>
              <c:numCache/>
            </c:numRef>
          </c:val>
          <c:smooth val="0"/>
        </c:ser>
        <c:ser>
          <c:idx val="2"/>
          <c:order val="2"/>
          <c:tx>
            <c:strRef>
              <c:f>'grafiku Humbjeve 2012-2022'!$A$6</c:f>
              <c:strCache>
                <c:ptCount val="1"/>
                <c:pt idx="0">
                  <c:v>Humbjet teknike Totale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2012-2022'!$B$6:$EC$6</c:f>
              <c:numCache/>
            </c:numRef>
          </c:val>
          <c:smooth val="0"/>
        </c:ser>
        <c:ser>
          <c:idx val="3"/>
          <c:order val="3"/>
          <c:tx>
            <c:strRef>
              <c:f>'grafiku Humbjeve 2012-2022'!$A$7</c:f>
              <c:strCache>
                <c:ptCount val="1"/>
                <c:pt idx="0">
                  <c:v>Humbjet jo-teknike Totale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2012-2022'!$B$7:$EC$7</c:f>
              <c:numCache/>
            </c:numRef>
          </c:val>
          <c:smooth val="0"/>
        </c:ser>
        <c:ser>
          <c:idx val="4"/>
          <c:order val="4"/>
          <c:tx>
            <c:strRef>
              <c:f>'grafiku Humbjeve 2012-2022'!$A$8</c:f>
              <c:strCache>
                <c:ptCount val="1"/>
                <c:pt idx="0">
                  <c:v>Humbjet  Totale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2012-2022'!$B$8:$EC$8</c:f>
              <c:numCache/>
            </c:numRef>
          </c:val>
          <c:smooth val="0"/>
        </c:ser>
        <c:ser>
          <c:idx val="5"/>
          <c:order val="5"/>
          <c:tx>
            <c:strRef>
              <c:f>'grafiku Humbjeve 2012-2022'!$A$9</c:f>
              <c:strCache>
                <c:ptCount val="1"/>
                <c:pt idx="0">
                  <c:v> ENERGJI TOTAL NË OSSH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'grafiku Humbjeve 2012-2022'!$B$2:$EC$3</c:f>
              <c:multiLvlStrCache/>
            </c:multiLvlStrRef>
          </c:cat>
          <c:val>
            <c:numRef>
              <c:f>'grafiku Humbjeve 2012-2022'!$B$9:$EC$9</c:f>
              <c:numCache/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44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75"/>
          <c:y val="0.97"/>
          <c:w val="0.67325"/>
          <c:h val="0.02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HUMBJET NE RRJETIN E SHPERNDARJES 2009-20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(MWh)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6425"/>
          <c:w val="0.96225"/>
          <c:h val="0.946"/>
        </c:manualLayout>
      </c:layout>
      <c:lineChart>
        <c:grouping val="standard"/>
        <c:varyColors val="0"/>
        <c:ser>
          <c:idx val="0"/>
          <c:order val="0"/>
          <c:tx>
            <c:strRef>
              <c:f>'Humbjet 2009-2022'!$A$3</c:f>
              <c:strCache>
                <c:ptCount val="1"/>
                <c:pt idx="0">
                  <c:v>HUMBJE TEKNIKE NE TL (N/ST)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2009-2022'!$B$3:$O$3</c:f>
              <c:numCache/>
            </c:numRef>
          </c:val>
          <c:smooth val="0"/>
        </c:ser>
        <c:ser>
          <c:idx val="1"/>
          <c:order val="1"/>
          <c:tx>
            <c:strRef>
              <c:f>'Humbjet 2009-2022'!$A$4</c:f>
              <c:strCache>
                <c:ptCount val="1"/>
                <c:pt idx="0">
                  <c:v>HUMBJE TEKNIKE NE ZONAT E OSSH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2009-2022'!$B$4:$O$4</c:f>
              <c:numCache/>
            </c:numRef>
          </c:val>
          <c:smooth val="0"/>
        </c:ser>
        <c:ser>
          <c:idx val="2"/>
          <c:order val="2"/>
          <c:tx>
            <c:strRef>
              <c:f>'Humbjet 2009-2022'!$A$5</c:f>
              <c:strCache>
                <c:ptCount val="1"/>
                <c:pt idx="0">
                  <c:v>TOTALI I HUMBJEVE TEKNIKE OSSH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2009-2022'!$B$5:$O$5</c:f>
              <c:numCache/>
            </c:numRef>
          </c:val>
          <c:smooth val="0"/>
        </c:ser>
        <c:ser>
          <c:idx val="3"/>
          <c:order val="3"/>
          <c:tx>
            <c:strRef>
              <c:f>'Humbjet 2009-2022'!$A$6</c:f>
              <c:strCache>
                <c:ptCount val="1"/>
                <c:pt idx="0">
                  <c:v>HUMBJE JOTOKNIKE OSSH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'Humbjet 2009-2022'!$B$2:$O$2</c:f>
              <c:numCache/>
            </c:numRef>
          </c:cat>
          <c:val>
            <c:numRef>
              <c:f>'Humbjet 2009-2022'!$B$6:$O$6</c:f>
              <c:numCache/>
            </c:numRef>
          </c:val>
          <c:smooth val="0"/>
        </c:ser>
        <c:ser>
          <c:idx val="4"/>
          <c:order val="4"/>
          <c:tx>
            <c:strRef>
              <c:f>'Humbjet 2009-2022'!$A$7</c:f>
              <c:strCache>
                <c:ptCount val="1"/>
                <c:pt idx="0">
                  <c:v>TOTALI I HUMBJEVE OSSH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'Humbjet 2009-2022'!$B$2:$O$2</c:f>
              <c:numCache/>
            </c:numRef>
          </c:cat>
          <c:val>
            <c:numRef>
              <c:f>'Humbjet 2009-2022'!$B$7:$O$7</c:f>
              <c:numCache/>
            </c:numRef>
          </c:val>
          <c:smooth val="0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delete val="1"/>
        <c:majorTickMark val="none"/>
        <c:minorTickMark val="none"/>
        <c:tickLblPos val="nextTo"/>
        <c:crossAx val="248158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OPERATORIT TË SHPËRNDARJES SIPAS KATEGORIVE 2010-2022  (000 000/LEKË)</a:t>
            </a:r>
          </a:p>
        </c:rich>
      </c:tx>
      <c:layout>
        <c:manualLayout>
          <c:xMode val="factor"/>
          <c:yMode val="factor"/>
          <c:x val="-0.000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825"/>
          <c:w val="0.99"/>
          <c:h val="0.97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vite'!$B$2:$FA$3</c:f>
              <c:multiLvlStrCache/>
            </c:multiLvlStrRef>
          </c:cat>
          <c:val>
            <c:numRef>
              <c:f>'Deb. ne vite'!$B$4:$FA$4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'Deb. ne vite'!$B$2:$FA$3</c:f>
              <c:multiLvlStrCache/>
            </c:multiLvlStrRef>
          </c:cat>
          <c:val>
            <c:numRef>
              <c:f>'Deb. ne vite'!$B$5:$FA$5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vite'!$B$2:$FA$3</c:f>
              <c:multiLvlStrCache/>
            </c:multiLvlStrRef>
          </c:cat>
          <c:val>
            <c:numRef>
              <c:f>'Deb. ne vite'!$B$6:$FA$6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'Deb. ne vite'!$B$2:$FA$3</c:f>
              <c:multiLvlStrCache/>
            </c:multiLvlStrRef>
          </c:cat>
          <c:val>
            <c:numRef>
              <c:f>'Deb. ne vite'!$B$7:$FA$7</c:f>
              <c:numCache/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none"/>
        <c:minorTickMark val="none"/>
        <c:tickLblPos val="nextTo"/>
        <c:crossAx val="63930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DHJET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OR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 SIPAS KLIENTËVE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58"/>
          <c:w val="0.97375"/>
          <c:h val="0.8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'Debitor 2022'!$Q$3</c:f>
              <c:strCache>
                <c:ptCount val="1"/>
                <c:pt idx="0">
                  <c:v>Privat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2022'!$R$3:$AE$3</c:f>
              <c:numCache/>
            </c:numRef>
          </c:val>
        </c:ser>
        <c:ser>
          <c:idx val="1"/>
          <c:order val="1"/>
          <c:tx>
            <c:strRef>
              <c:f>'Debitor 2022'!$Q$4</c:f>
              <c:strCache>
                <c:ptCount val="1"/>
                <c:pt idx="0">
                  <c:v>JoBuxhetore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2022'!$R$4:$AE$4</c:f>
              <c:numCache/>
            </c:numRef>
          </c:val>
        </c:ser>
        <c:ser>
          <c:idx val="2"/>
          <c:order val="2"/>
          <c:tx>
            <c:strRef>
              <c:f>'Debitor 2022'!$Q$5</c:f>
              <c:strCache>
                <c:ptCount val="1"/>
                <c:pt idx="0">
                  <c:v>Familjare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2022'!$R$5:$AE$5</c:f>
              <c:numCache/>
            </c:numRef>
          </c:val>
        </c:ser>
        <c:ser>
          <c:idx val="3"/>
          <c:order val="3"/>
          <c:tx>
            <c:strRef>
              <c:f>'Debitor 2022'!$Q$6</c:f>
              <c:strCache>
                <c:ptCount val="1"/>
                <c:pt idx="0">
                  <c:v>Buxhetore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2022'!$R$6:$AE$6</c:f>
              <c:numCache/>
            </c:numRef>
          </c:val>
        </c:ser>
        <c:overlap val="100"/>
        <c:gapWidth val="5"/>
        <c:axId val="10990412"/>
        <c:axId val="31804845"/>
      </c:barChart>
      <c:lineChart>
        <c:grouping val="standard"/>
        <c:varyColors val="0"/>
        <c:ser>
          <c:idx val="4"/>
          <c:order val="4"/>
          <c:tx>
            <c:strRef>
              <c:f>'Debitor 2022'!$Q$7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2022'!$R$2:$AE$2</c:f>
              <c:strCache/>
            </c:strRef>
          </c:cat>
          <c:val>
            <c:numRef>
              <c:f>'Debitor 2022'!$R$7:$AE$7</c:f>
              <c:numCache/>
            </c:numRef>
          </c:val>
          <c:smooth val="0"/>
        </c:ser>
        <c:axId val="17808150"/>
        <c:axId val="26055623"/>
      </c:lineChart>
      <c:catAx>
        <c:axId val="109904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333333"/>
                </a:solidFill>
              </a:defRPr>
            </a:pPr>
          </a:p>
        </c:txPr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l"/>
        <c:delete val="1"/>
        <c:majorTickMark val="none"/>
        <c:minorTickMark val="none"/>
        <c:tickLblPos val="nextTo"/>
        <c:crossAx val="10990412"/>
        <c:crossesAt val="1"/>
        <c:crossBetween val="between"/>
        <c:dispUnits/>
      </c:valAx>
      <c:catAx>
        <c:axId val="17808150"/>
        <c:scaling>
          <c:orientation val="minMax"/>
        </c:scaling>
        <c:axPos val="b"/>
        <c:delete val="1"/>
        <c:majorTickMark val="out"/>
        <c:minorTickMark val="none"/>
        <c:tickLblPos val="nextTo"/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l"/>
        <c:delete val="1"/>
        <c:majorTickMark val="out"/>
        <c:minorTickMark val="none"/>
        <c:tickLblPos val="nextTo"/>
        <c:crossAx val="17808150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ECURIA E GJENDJES DEBITORE NDAJ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OPERATORIT TE SHPERNDARJES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 2009  - 3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DHJETOR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22 SIPAS KLIENTËVE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( 000 000 LEKË)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15"/>
          <c:w val="0.9695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'Debitor 2022'!$A$3</c:f>
              <c:strCache>
                <c:ptCount val="1"/>
                <c:pt idx="0">
                  <c:v>Buxhetore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'Debitor 2022'!$B$2:$O$2</c:f>
              <c:strCache/>
            </c:strRef>
          </c:cat>
          <c:val>
            <c:numRef>
              <c:f>'Debitor 2022'!$B$3:$O$3</c:f>
              <c:numCache/>
            </c:numRef>
          </c:val>
          <c:smooth val="0"/>
        </c:ser>
        <c:ser>
          <c:idx val="1"/>
          <c:order val="1"/>
          <c:tx>
            <c:strRef>
              <c:f>'Debitor 2022'!$A$4</c:f>
              <c:strCache>
                <c:ptCount val="1"/>
                <c:pt idx="0">
                  <c:v>Familjare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2022'!$B$4:$O$4</c:f>
              <c:numCache/>
            </c:numRef>
          </c:val>
          <c:smooth val="0"/>
        </c:ser>
        <c:ser>
          <c:idx val="2"/>
          <c:order val="2"/>
          <c:tx>
            <c:strRef>
              <c:f>'Debitor 2022'!$A$5</c:f>
              <c:strCache>
                <c:ptCount val="1"/>
                <c:pt idx="0">
                  <c:v>JoBuxhetore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2022'!$B$5:$O$5</c:f>
              <c:numCache/>
            </c:numRef>
          </c:val>
          <c:smooth val="0"/>
        </c:ser>
        <c:ser>
          <c:idx val="3"/>
          <c:order val="3"/>
          <c:tx>
            <c:strRef>
              <c:f>'Debitor 2022'!$A$6</c:f>
              <c:strCache>
                <c:ptCount val="1"/>
                <c:pt idx="0">
                  <c:v>Privat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'Debitor 2022'!$B$2:$O$2</c:f>
              <c:strCache/>
            </c:strRef>
          </c:cat>
          <c:val>
            <c:numRef>
              <c:f>'Debitor 2022'!$B$6:$O$6</c:f>
              <c:numCache/>
            </c:numRef>
          </c:val>
          <c:smooth val="0"/>
        </c:ser>
        <c:ser>
          <c:idx val="4"/>
          <c:order val="4"/>
          <c:tx>
            <c:strRef>
              <c:f>'Debitor 2022'!$A$7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'Debitor 2022'!$B$2:$O$2</c:f>
              <c:strCache/>
            </c:strRef>
          </c:cat>
          <c:val>
            <c:numRef>
              <c:f>'Debitor 2022'!$B$7:$O$7</c:f>
              <c:numCache/>
            </c:numRef>
          </c:val>
          <c:smooth val="0"/>
        </c:ser>
        <c:marker val="1"/>
        <c:axId val="33174016"/>
        <c:axId val="30130689"/>
      </c:lineChart>
      <c:catAx>
        <c:axId val="331740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130689"/>
        <c:crosses val="autoZero"/>
        <c:auto val="1"/>
        <c:lblOffset val="100"/>
        <c:tickLblSkip val="1"/>
        <c:noMultiLvlLbl val="0"/>
      </c:catAx>
      <c:valAx>
        <c:axId val="30130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40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ESATARJA 13 VJEÇARE E ENERGJISË TOTALE NË RRJETIN E SHPËRNDARJES SIPAS MUAJVE TË VITIT (MWh)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46"/>
          <c:w val="0.96975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'En.Tot.Shpernd 22'!$A$19</c:f>
              <c:strCache>
                <c:ptCount val="1"/>
                <c:pt idx="0">
                  <c:v>Mesatarja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DDD9C3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DDD9C3"/>
              </a:solidFill>
              <a:ln w="12700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'En.Tot.Shpernd 22'!$B$18:$M$18</c:f>
              <c:strCache/>
            </c:strRef>
          </c:cat>
          <c:val>
            <c:numRef>
              <c:f>'En.Tot.Shpernd 22'!$B$19:$M$19</c:f>
              <c:numCache/>
            </c:numRef>
          </c:val>
          <c:smooth val="0"/>
        </c:ser>
        <c:ser>
          <c:idx val="1"/>
          <c:order val="1"/>
          <c:tx>
            <c:strRef>
              <c:f>'En.Tot.Shpernd 22'!$A$20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'En.Tot.Shpernd 22'!$B$18:$M$18</c:f>
              <c:strCache/>
            </c:strRef>
          </c:cat>
          <c:val>
            <c:numRef>
              <c:f>'En.Tot.Shpernd 22'!$B$20:$M$20</c:f>
              <c:numCache/>
            </c:numRef>
          </c:val>
          <c:smooth val="0"/>
        </c:ser>
        <c:marker val="1"/>
        <c:axId val="2740746"/>
        <c:axId val="24666715"/>
      </c:lineChart>
      <c:catAx>
        <c:axId val="274074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666715"/>
        <c:crosses val="autoZero"/>
        <c:auto val="1"/>
        <c:lblOffset val="100"/>
        <c:tickLblSkip val="1"/>
        <c:noMultiLvlLbl val="0"/>
      </c:catAx>
      <c:valAx>
        <c:axId val="24666715"/>
        <c:scaling>
          <c:orientation val="minMax"/>
          <c:min val="400000"/>
        </c:scaling>
        <c:axPos val="l"/>
        <c:delete val="1"/>
        <c:majorTickMark val="none"/>
        <c:minorTickMark val="none"/>
        <c:tickLblPos val="nextTo"/>
        <c:crossAx val="27407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Efektiviteti i shitjeve ne Sistemin e Shperndarjes (%)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2009-20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256"/>
          <c:w val="0.9555"/>
          <c:h val="0.7085"/>
        </c:manualLayout>
      </c:layout>
      <c:lineChart>
        <c:grouping val="standard"/>
        <c:varyColors val="0"/>
        <c:ser>
          <c:idx val="0"/>
          <c:order val="0"/>
          <c:tx>
            <c:strRef>
              <c:f>'Efektiviteti 2022'!$A$54</c:f>
              <c:strCache>
                <c:ptCount val="1"/>
                <c:pt idx="0">
                  <c:v>Arketimi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2022'!$B$54:$O$54</c:f>
              <c:numCache/>
            </c:numRef>
          </c:val>
          <c:smooth val="0"/>
        </c:ser>
        <c:ser>
          <c:idx val="1"/>
          <c:order val="1"/>
          <c:tx>
            <c:strRef>
              <c:f>'Efektiviteti 2022'!$A$55</c:f>
              <c:strCache>
                <c:ptCount val="1"/>
                <c:pt idx="0">
                  <c:v>Humbja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2022'!$B$55:$O$55</c:f>
              <c:numCache/>
            </c:numRef>
          </c:val>
          <c:smooth val="0"/>
        </c:ser>
        <c:ser>
          <c:idx val="2"/>
          <c:order val="2"/>
          <c:tx>
            <c:strRef>
              <c:f>'Efektiviteti 2022'!$A$56</c:f>
              <c:strCache>
                <c:ptCount val="1"/>
                <c:pt idx="0">
                  <c:v>Efektiviteti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'Efektiviteti 2022'!$B$53:$O$53</c:f>
              <c:numCache/>
            </c:numRef>
          </c:cat>
          <c:val>
            <c:numRef>
              <c:f>'Efektiviteti 2022'!$B$56:$O$56</c:f>
              <c:numCache/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846869"/>
        <c:crosses val="autoZero"/>
        <c:auto val="1"/>
        <c:lblOffset val="100"/>
        <c:tickLblSkip val="1"/>
        <c:noMultiLvlLbl val="0"/>
      </c:catAx>
      <c:valAx>
        <c:axId val="51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none"/>
        <c:minorTickMark val="none"/>
        <c:tickLblPos val="nextTo"/>
        <c:crossAx val="20673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4"/>
          <c:y val="0.17575"/>
          <c:w val="0.417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16</xdr:row>
      <xdr:rowOff>28575</xdr:rowOff>
    </xdr:from>
    <xdr:to>
      <xdr:col>7</xdr:col>
      <xdr:colOff>95250</xdr:colOff>
      <xdr:row>20</xdr:row>
      <xdr:rowOff>190500</xdr:rowOff>
    </xdr:to>
    <xdr:sp>
      <xdr:nvSpPr>
        <xdr:cNvPr id="1" name="Straight Arrow Connector 1"/>
        <xdr:cNvSpPr>
          <a:spLocks/>
        </xdr:cNvSpPr>
      </xdr:nvSpPr>
      <xdr:spPr>
        <a:xfrm flipH="1">
          <a:off x="5705475" y="5181600"/>
          <a:ext cx="1790700" cy="1419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28575</xdr:rowOff>
    </xdr:from>
    <xdr:to>
      <xdr:col>7</xdr:col>
      <xdr:colOff>695325</xdr:colOff>
      <xdr:row>21</xdr:row>
      <xdr:rowOff>47625</xdr:rowOff>
    </xdr:to>
    <xdr:sp>
      <xdr:nvSpPr>
        <xdr:cNvPr id="2" name="Straight Arrow Connector 2"/>
        <xdr:cNvSpPr>
          <a:spLocks/>
        </xdr:cNvSpPr>
      </xdr:nvSpPr>
      <xdr:spPr>
        <a:xfrm>
          <a:off x="7496175" y="5181600"/>
          <a:ext cx="600075" cy="14668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390525</xdr:colOff>
      <xdr:row>11</xdr:row>
      <xdr:rowOff>19050</xdr:rowOff>
    </xdr:from>
    <xdr:to>
      <xdr:col>2</xdr:col>
      <xdr:colOff>409575</xdr:colOff>
      <xdr:row>20</xdr:row>
      <xdr:rowOff>190500</xdr:rowOff>
    </xdr:to>
    <xdr:sp>
      <xdr:nvSpPr>
        <xdr:cNvPr id="3" name="Straight Arrow Connector 3"/>
        <xdr:cNvSpPr>
          <a:spLocks/>
        </xdr:cNvSpPr>
      </xdr:nvSpPr>
      <xdr:spPr>
        <a:xfrm>
          <a:off x="3400425" y="3190875"/>
          <a:ext cx="19050" cy="340995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16</xdr:row>
      <xdr:rowOff>28575</xdr:rowOff>
    </xdr:from>
    <xdr:to>
      <xdr:col>13</xdr:col>
      <xdr:colOff>466725</xdr:colOff>
      <xdr:row>20</xdr:row>
      <xdr:rowOff>190500</xdr:rowOff>
    </xdr:to>
    <xdr:sp>
      <xdr:nvSpPr>
        <xdr:cNvPr id="4" name="Straight Arrow Connector 5"/>
        <xdr:cNvSpPr>
          <a:spLocks/>
        </xdr:cNvSpPr>
      </xdr:nvSpPr>
      <xdr:spPr>
        <a:xfrm>
          <a:off x="7515225" y="5181600"/>
          <a:ext cx="5438775" cy="141922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16</xdr:row>
      <xdr:rowOff>47625</xdr:rowOff>
    </xdr:from>
    <xdr:to>
      <xdr:col>9</xdr:col>
      <xdr:colOff>495300</xdr:colOff>
      <xdr:row>20</xdr:row>
      <xdr:rowOff>190500</xdr:rowOff>
    </xdr:to>
    <xdr:sp>
      <xdr:nvSpPr>
        <xdr:cNvPr id="5" name="Straight Arrow Connector 6"/>
        <xdr:cNvSpPr>
          <a:spLocks/>
        </xdr:cNvSpPr>
      </xdr:nvSpPr>
      <xdr:spPr>
        <a:xfrm>
          <a:off x="7553325" y="5200650"/>
          <a:ext cx="2038350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16</xdr:row>
      <xdr:rowOff>47625</xdr:rowOff>
    </xdr:from>
    <xdr:to>
      <xdr:col>11</xdr:col>
      <xdr:colOff>485775</xdr:colOff>
      <xdr:row>20</xdr:row>
      <xdr:rowOff>190500</xdr:rowOff>
    </xdr:to>
    <xdr:sp>
      <xdr:nvSpPr>
        <xdr:cNvPr id="6" name="Straight Arrow Connector 7"/>
        <xdr:cNvSpPr>
          <a:spLocks/>
        </xdr:cNvSpPr>
      </xdr:nvSpPr>
      <xdr:spPr>
        <a:xfrm>
          <a:off x="7458075" y="5200650"/>
          <a:ext cx="3819525" cy="1400175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66675</xdr:rowOff>
    </xdr:from>
    <xdr:to>
      <xdr:col>12</xdr:col>
      <xdr:colOff>504825</xdr:colOff>
      <xdr:row>78</xdr:row>
      <xdr:rowOff>95250</xdr:rowOff>
    </xdr:to>
    <xdr:graphicFrame>
      <xdr:nvGraphicFramePr>
        <xdr:cNvPr id="1" name="Chart 1"/>
        <xdr:cNvGraphicFramePr/>
      </xdr:nvGraphicFramePr>
      <xdr:xfrm>
        <a:off x="57150" y="6696075"/>
        <a:ext cx="80676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0.12575</cdr:x>
      <cdr:y>0.014</cdr:y>
    </cdr:from>
    <cdr:to>
      <cdr:x>0.8295</cdr:x>
      <cdr:y>0.05975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124075" y="190500"/>
          <a:ext cx="11915775" cy="628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0</xdr:rowOff>
    </xdr:from>
    <xdr:to>
      <xdr:col>132</xdr:col>
      <xdr:colOff>161925</xdr:colOff>
      <xdr:row>82</xdr:row>
      <xdr:rowOff>190500</xdr:rowOff>
    </xdr:to>
    <xdr:graphicFrame>
      <xdr:nvGraphicFramePr>
        <xdr:cNvPr id="1" name="Chart 4"/>
        <xdr:cNvGraphicFramePr/>
      </xdr:nvGraphicFramePr>
      <xdr:xfrm>
        <a:off x="400050" y="3238500"/>
        <a:ext cx="16925925" cy="1374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104775</xdr:rowOff>
    </xdr:from>
    <xdr:to>
      <xdr:col>14</xdr:col>
      <xdr:colOff>400050</xdr:colOff>
      <xdr:row>43</xdr:row>
      <xdr:rowOff>161925</xdr:rowOff>
    </xdr:to>
    <xdr:graphicFrame>
      <xdr:nvGraphicFramePr>
        <xdr:cNvPr id="1" name="Chart 2"/>
        <xdr:cNvGraphicFramePr/>
      </xdr:nvGraphicFramePr>
      <xdr:xfrm>
        <a:off x="28575" y="1495425"/>
        <a:ext cx="1087755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19050</xdr:rowOff>
    </xdr:from>
    <xdr:to>
      <xdr:col>157</xdr:col>
      <xdr:colOff>0</xdr:colOff>
      <xdr:row>113</xdr:row>
      <xdr:rowOff>28575</xdr:rowOff>
    </xdr:to>
    <xdr:graphicFrame>
      <xdr:nvGraphicFramePr>
        <xdr:cNvPr id="1" name="Chart 1"/>
        <xdr:cNvGraphicFramePr/>
      </xdr:nvGraphicFramePr>
      <xdr:xfrm>
        <a:off x="152400" y="3257550"/>
        <a:ext cx="19192875" cy="1907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7</xdr:row>
      <xdr:rowOff>171450</xdr:rowOff>
    </xdr:from>
    <xdr:to>
      <xdr:col>30</xdr:col>
      <xdr:colOff>561975</xdr:colOff>
      <xdr:row>40</xdr:row>
      <xdr:rowOff>85725</xdr:rowOff>
    </xdr:to>
    <xdr:graphicFrame>
      <xdr:nvGraphicFramePr>
        <xdr:cNvPr id="1" name="Chart 1"/>
        <xdr:cNvGraphicFramePr/>
      </xdr:nvGraphicFramePr>
      <xdr:xfrm>
        <a:off x="10525125" y="1343025"/>
        <a:ext cx="91249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7</xdr:row>
      <xdr:rowOff>142875</xdr:rowOff>
    </xdr:from>
    <xdr:to>
      <xdr:col>14</xdr:col>
      <xdr:colOff>590550</xdr:colOff>
      <xdr:row>40</xdr:row>
      <xdr:rowOff>123825</xdr:rowOff>
    </xdr:to>
    <xdr:graphicFrame>
      <xdr:nvGraphicFramePr>
        <xdr:cNvPr id="2" name="Chart 3"/>
        <xdr:cNvGraphicFramePr/>
      </xdr:nvGraphicFramePr>
      <xdr:xfrm>
        <a:off x="28575" y="1333500"/>
        <a:ext cx="980122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38100</xdr:rowOff>
    </xdr:from>
    <xdr:to>
      <xdr:col>13</xdr:col>
      <xdr:colOff>533400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66675" y="3819525"/>
        <a:ext cx="80581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66675</xdr:rowOff>
    </xdr:from>
    <xdr:to>
      <xdr:col>14</xdr:col>
      <xdr:colOff>523875</xdr:colOff>
      <xdr:row>84</xdr:row>
      <xdr:rowOff>152400</xdr:rowOff>
    </xdr:to>
    <xdr:graphicFrame>
      <xdr:nvGraphicFramePr>
        <xdr:cNvPr id="1" name="Chart 5"/>
        <xdr:cNvGraphicFramePr/>
      </xdr:nvGraphicFramePr>
      <xdr:xfrm>
        <a:off x="76200" y="8201025"/>
        <a:ext cx="85248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Raport%2012%20-mujori%202022\OSHEE\Raporti_Final_ERE_Dhjetor_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OST%202022\Tabela%20e%20Disbalancave%20(ne%20MWh,%20lek%20dhe%20ne%20euro)%20Total%202022%20(Dhjetor%20202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rrucaj\Desktop\KESH\Korrik\Nominimet%20e%20%20transaksioneve%20%20Korrik%202022_%20Perfundimt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bledhese"/>
      <sheetName val="Faturime dhe Arketime 2022"/>
      <sheetName val="ERE FMF 05_2022"/>
      <sheetName val="ERE FMF_20_10_05_2022"/>
      <sheetName val="ERE FSHU 05_2022"/>
      <sheetName val="ERE FSHU 04_2022"/>
      <sheetName val="ERE FMF 04_2022"/>
      <sheetName val="ERE FMF 20_10_04_2022"/>
      <sheetName val="ERE FSHU 03_2022"/>
      <sheetName val="ERE FMF 20_10_03_2022"/>
      <sheetName val="ERE FMF 03_2022"/>
      <sheetName val="ERE FSHU 02_2022"/>
      <sheetName val="ERE FMF 02 2021"/>
      <sheetName val="ERE FMF 20_10_6_ 02_2022"/>
      <sheetName val="ERE FSHU 01_2022"/>
      <sheetName val="ERE FMF 01 2022"/>
      <sheetName val="ERE FMF 20_10_6_ 01_2022"/>
      <sheetName val="ERE FSHU 12_2021"/>
      <sheetName val="ERE FMF20 12_2022"/>
      <sheetName val="ERE FMF 12_2021"/>
      <sheetName val="Progresive FSHU"/>
      <sheetName val="Progresive FMF 20_10_6"/>
      <sheetName val="Progresive FMF"/>
      <sheetName val="ERE FSHU 11_2022 "/>
      <sheetName val="ERE FMF 11_2022"/>
      <sheetName val="ERE FMF_20_10_11_2022"/>
      <sheetName val="ERE FSHU 10_2022"/>
      <sheetName val="ERE FMF_20_10_10_2022"/>
      <sheetName val="ERE FMF 10_2022"/>
      <sheetName val="ERE FSHU 09_2022"/>
      <sheetName val="ERE FMF_20_10_09_2022"/>
      <sheetName val="ERE FMF 09_2022"/>
      <sheetName val="ERE FSHU 08_2022"/>
      <sheetName val="ERE FMF_20_10_08_2022"/>
      <sheetName val="ERE FMF 08_2022"/>
      <sheetName val="ERE FMF 07_2021"/>
      <sheetName val="ERE FMF_20_10_07_2022"/>
      <sheetName val="ERE FSHU 07_2021"/>
      <sheetName val="ERE FMF 06_2022"/>
      <sheetName val="ERE FMF_20_10_06_2022"/>
      <sheetName val="ERE FSHU 06_2022"/>
      <sheetName val="Bilanci i Energjise "/>
      <sheetName val="Shperndarja"/>
      <sheetName val="Humbjet sipas Agjensive"/>
      <sheetName val="Prodhimi Hec-eve Shperndarje"/>
      <sheetName val="Prodhimi BREE"/>
      <sheetName val="Prodhimi Hec-ve Trasmetim"/>
    </sheetNames>
    <sheetDataSet>
      <sheetData sheetId="41">
        <row r="7">
          <cell r="C7">
            <v>29707.27116000001</v>
          </cell>
          <cell r="D7">
            <v>29381.900073</v>
          </cell>
          <cell r="E7">
            <v>26664.369933999995</v>
          </cell>
          <cell r="F7">
            <v>96219.34161699998</v>
          </cell>
          <cell r="G7">
            <v>52872.490207999996</v>
          </cell>
          <cell r="H7">
            <v>10145.751593</v>
          </cell>
          <cell r="I7">
            <v>1653.945564</v>
          </cell>
          <cell r="J7">
            <v>1181.5771190000003</v>
          </cell>
          <cell r="K7">
            <v>5874.850764000001</v>
          </cell>
          <cell r="L7">
            <v>10195.574213</v>
          </cell>
          <cell r="M7">
            <v>28451.327997</v>
          </cell>
          <cell r="N7">
            <v>62030.510168</v>
          </cell>
        </row>
        <row r="11">
          <cell r="C11">
            <v>2464.71</v>
          </cell>
          <cell r="D11">
            <v>2172.22</v>
          </cell>
          <cell r="E11">
            <v>2273.3</v>
          </cell>
          <cell r="F11">
            <v>2451.41</v>
          </cell>
          <cell r="G11">
            <v>2471.34</v>
          </cell>
          <cell r="H11">
            <v>2129.07</v>
          </cell>
          <cell r="I11">
            <v>2109.48</v>
          </cell>
          <cell r="J11">
            <v>1629.81</v>
          </cell>
          <cell r="K11">
            <v>1302.84</v>
          </cell>
          <cell r="L11">
            <v>1857.0200000000004</v>
          </cell>
          <cell r="M11">
            <v>2025.81</v>
          </cell>
          <cell r="N11">
            <v>2536.29</v>
          </cell>
        </row>
        <row r="12">
          <cell r="C12">
            <v>83068.87505911998</v>
          </cell>
          <cell r="D12">
            <v>74131.78691792997</v>
          </cell>
          <cell r="E12">
            <v>74478.73649690996</v>
          </cell>
          <cell r="F12">
            <v>156218.4299523001</v>
          </cell>
          <cell r="G12">
            <v>98408.28158959003</v>
          </cell>
          <cell r="H12">
            <v>36583.59773434999</v>
          </cell>
          <cell r="I12">
            <v>15174.817852609991</v>
          </cell>
          <cell r="J12">
            <v>11284.36356956</v>
          </cell>
          <cell r="K12">
            <v>21353.69309096</v>
          </cell>
          <cell r="L12">
            <v>31644.668994879987</v>
          </cell>
          <cell r="M12">
            <v>59995.97592193006</v>
          </cell>
          <cell r="N12">
            <v>115555.64938083</v>
          </cell>
        </row>
        <row r="13">
          <cell r="C13">
            <v>2481.9490000000005</v>
          </cell>
          <cell r="D13">
            <v>2881.1095</v>
          </cell>
          <cell r="E13">
            <v>3625.8979999999992</v>
          </cell>
          <cell r="F13">
            <v>4072.904</v>
          </cell>
          <cell r="G13">
            <v>4804.927</v>
          </cell>
          <cell r="H13">
            <v>4750.76</v>
          </cell>
          <cell r="I13">
            <v>5213.9525</v>
          </cell>
          <cell r="J13">
            <v>11322.4226</v>
          </cell>
          <cell r="K13">
            <v>3914.2405</v>
          </cell>
          <cell r="L13">
            <v>3403.7480000000005</v>
          </cell>
          <cell r="M13">
            <v>1890.593</v>
          </cell>
          <cell r="N13">
            <v>1729.659</v>
          </cell>
        </row>
        <row r="18">
          <cell r="C18">
            <v>11779.221403730568</v>
          </cell>
          <cell r="D18">
            <v>7792.075429081218</v>
          </cell>
          <cell r="E18">
            <v>8153.296522483695</v>
          </cell>
          <cell r="F18">
            <v>9475.48683839303</v>
          </cell>
          <cell r="G18">
            <v>7512.416000140365</v>
          </cell>
          <cell r="H18">
            <v>7562.569325302611</v>
          </cell>
          <cell r="I18">
            <v>7711.107568893931</v>
          </cell>
          <cell r="J18">
            <v>11617.777231759042</v>
          </cell>
          <cell r="K18">
            <v>4771.36552516806</v>
          </cell>
          <cell r="L18">
            <v>4748.195605926798</v>
          </cell>
          <cell r="M18">
            <v>6515.950466051814</v>
          </cell>
          <cell r="N18">
            <v>5691.204263690044</v>
          </cell>
        </row>
        <row r="19">
          <cell r="C19">
            <v>0.014654575237522506</v>
          </cell>
          <cell r="D19">
            <v>0.011361398040326669</v>
          </cell>
          <cell r="E19">
            <v>0.011235764532573267</v>
          </cell>
          <cell r="F19">
            <v>0.01452221942454591</v>
          </cell>
          <cell r="G19">
            <v>0.01348493534671488</v>
          </cell>
          <cell r="H19">
            <v>0.014118369014427156</v>
          </cell>
          <cell r="I19">
            <v>0.012991972906120542</v>
          </cell>
          <cell r="J19">
            <v>0.019734343452471995</v>
          </cell>
          <cell r="K19">
            <v>0.00978217578847615</v>
          </cell>
          <cell r="L19">
            <v>0.009667372437627412</v>
          </cell>
          <cell r="M19">
            <v>0.011538484866801415</v>
          </cell>
          <cell r="N19">
            <v>0.007986594146909972</v>
          </cell>
          <cell r="O19">
            <v>0.012613986264502646</v>
          </cell>
        </row>
        <row r="20">
          <cell r="C20">
            <v>490.604899999998</v>
          </cell>
          <cell r="D20">
            <v>421.857350000005</v>
          </cell>
          <cell r="E20">
            <v>456.4578749999989</v>
          </cell>
          <cell r="F20">
            <v>356.72356999999505</v>
          </cell>
          <cell r="G20">
            <v>307.03870999999896</v>
          </cell>
          <cell r="H20">
            <v>295.265989999999</v>
          </cell>
          <cell r="I20">
            <v>336.2077000000025</v>
          </cell>
          <cell r="J20">
            <v>326.5167899999992</v>
          </cell>
          <cell r="K20">
            <v>283.4364999999981</v>
          </cell>
          <cell r="L20">
            <v>312.592022</v>
          </cell>
          <cell r="M20">
            <v>340.64366899999976</v>
          </cell>
          <cell r="N20">
            <v>426.921049000002</v>
          </cell>
        </row>
        <row r="24">
          <cell r="C24">
            <v>137677.52693906557</v>
          </cell>
          <cell r="D24">
            <v>82990</v>
          </cell>
          <cell r="E24">
            <v>103491.6209455483</v>
          </cell>
          <cell r="F24">
            <v>70765</v>
          </cell>
          <cell r="G24">
            <v>57223.8887017518</v>
          </cell>
          <cell r="H24">
            <v>56079.5806135674</v>
          </cell>
          <cell r="I24">
            <v>68449.7249917217</v>
          </cell>
          <cell r="J24">
            <v>63789.53723403386</v>
          </cell>
          <cell r="K24">
            <v>45631.48697498679</v>
          </cell>
          <cell r="L24">
            <v>49636.0962249665</v>
          </cell>
          <cell r="M24">
            <v>60729.8352756558</v>
          </cell>
          <cell r="N24">
            <v>90217.2112931957</v>
          </cell>
        </row>
        <row r="25">
          <cell r="C25">
            <v>0.17394033619524618</v>
          </cell>
          <cell r="D25">
            <v>0.12247208624512933</v>
          </cell>
          <cell r="E25">
            <v>0.14433053039279223</v>
          </cell>
          <cell r="F25">
            <v>0.11011440548515111</v>
          </cell>
          <cell r="G25">
            <v>0.1041802948700098</v>
          </cell>
          <cell r="H25">
            <v>0.10625222477423518</v>
          </cell>
          <cell r="I25">
            <v>0.11691189124017554</v>
          </cell>
          <cell r="J25">
            <v>0.11059897297681494</v>
          </cell>
          <cell r="K25">
            <v>0.09453259752495292</v>
          </cell>
          <cell r="L25">
            <v>0.10211171470271535</v>
          </cell>
          <cell r="M25">
            <v>0.10886253923420335</v>
          </cell>
          <cell r="N25">
            <v>0.12770022512363888</v>
          </cell>
          <cell r="O25">
            <v>0.12144163094048621</v>
          </cell>
        </row>
        <row r="26">
          <cell r="C26">
            <v>78941.57114987398</v>
          </cell>
          <cell r="D26">
            <v>44023.870224688784</v>
          </cell>
          <cell r="E26">
            <v>60172.753214087905</v>
          </cell>
          <cell r="F26">
            <v>38754.73796969722</v>
          </cell>
          <cell r="G26">
            <v>30436.967842667917</v>
          </cell>
          <cell r="H26">
            <v>29036.873069160072</v>
          </cell>
          <cell r="I26">
            <v>33145.496728914426</v>
          </cell>
          <cell r="J26">
            <v>23584.028165844684</v>
          </cell>
          <cell r="K26">
            <v>22489.050518195152</v>
          </cell>
          <cell r="L26">
            <v>35772.76727836668</v>
          </cell>
          <cell r="M26">
            <v>36564.23211616241</v>
          </cell>
          <cell r="N26">
            <v>44905.36355680428</v>
          </cell>
        </row>
        <row r="27">
          <cell r="C27">
            <v>0.09821151620578926</v>
          </cell>
          <cell r="D27">
            <v>0.06418992185723121</v>
          </cell>
          <cell r="E27">
            <v>0.08292190582370482</v>
          </cell>
          <cell r="F27">
            <v>0.05939587254306938</v>
          </cell>
          <cell r="G27">
            <v>0.05463495944590235</v>
          </cell>
          <cell r="H27">
            <v>0.05420820244832333</v>
          </cell>
          <cell r="I27">
            <v>0.05584481757187204</v>
          </cell>
          <cell r="J27">
            <v>0.040060615945128074</v>
          </cell>
          <cell r="K27">
            <v>0.0461066846219368</v>
          </cell>
          <cell r="L27">
            <v>0.07283370212736627</v>
          </cell>
          <cell r="M27">
            <v>0.06474816546513622</v>
          </cell>
          <cell r="N27">
            <v>0.06301670035562966</v>
          </cell>
          <cell r="O27">
            <v>0.06458019041902047</v>
          </cell>
        </row>
      </sheetData>
      <sheetData sheetId="42">
        <row r="6">
          <cell r="D6">
            <v>2478.3376000000003</v>
          </cell>
          <cell r="E6">
            <v>1681.9479</v>
          </cell>
          <cell r="F6">
            <v>2074.377</v>
          </cell>
          <cell r="G6">
            <v>1950.6516000000001</v>
          </cell>
          <cell r="H6">
            <v>2312.2702999999997</v>
          </cell>
          <cell r="I6">
            <v>1905.2686999999999</v>
          </cell>
          <cell r="J6">
            <v>1409.0666</v>
          </cell>
          <cell r="K6">
            <v>1427.200929032258</v>
          </cell>
          <cell r="L6">
            <v>994.6758000000001</v>
          </cell>
          <cell r="M6">
            <v>843.23</v>
          </cell>
          <cell r="N6">
            <v>619.623</v>
          </cell>
          <cell r="O6">
            <v>510.767</v>
          </cell>
        </row>
        <row r="12">
          <cell r="D12">
            <v>85751.99055</v>
          </cell>
          <cell r="E12">
            <v>75785.88604299999</v>
          </cell>
          <cell r="F12">
            <v>64447.631132</v>
          </cell>
          <cell r="G12">
            <v>179182.27789499998</v>
          </cell>
          <cell r="H12">
            <v>126219.104206</v>
          </cell>
          <cell r="I12">
            <v>46852.94908900001</v>
          </cell>
          <cell r="J12">
            <v>17610.521814000003</v>
          </cell>
          <cell r="K12">
            <v>9944.18397</v>
          </cell>
          <cell r="L12">
            <v>28563.044863999992</v>
          </cell>
          <cell r="M12">
            <v>42649.511854000004</v>
          </cell>
          <cell r="N12">
            <v>74367.970701</v>
          </cell>
          <cell r="O12">
            <v>142464.57483199998</v>
          </cell>
        </row>
        <row r="13">
          <cell r="D13">
            <v>24126.462665000006</v>
          </cell>
          <cell r="E13">
            <v>18088.895830000005</v>
          </cell>
          <cell r="F13">
            <v>21779.974445000007</v>
          </cell>
          <cell r="G13">
            <v>18191.034782000002</v>
          </cell>
          <cell r="H13">
            <v>13841.497300999998</v>
          </cell>
          <cell r="I13">
            <v>12119.877733999998</v>
          </cell>
          <cell r="J13">
            <v>15559.307741999999</v>
          </cell>
          <cell r="K13">
            <v>19283.059867999997</v>
          </cell>
          <cell r="L13">
            <v>20679.445023</v>
          </cell>
          <cell r="M13">
            <v>16317.240557999998</v>
          </cell>
          <cell r="N13">
            <v>21420.625149999993</v>
          </cell>
          <cell r="O13">
            <v>34868.694967999996</v>
          </cell>
        </row>
        <row r="14">
          <cell r="D14">
            <v>43344</v>
          </cell>
          <cell r="E14">
            <v>4032</v>
          </cell>
          <cell r="F14">
            <v>4458</v>
          </cell>
          <cell r="G14">
            <v>4320</v>
          </cell>
          <cell r="H14">
            <v>4464</v>
          </cell>
          <cell r="I14">
            <v>4320</v>
          </cell>
          <cell r="J14">
            <v>4464</v>
          </cell>
          <cell r="K14">
            <v>4464</v>
          </cell>
          <cell r="L14">
            <v>4320</v>
          </cell>
          <cell r="M14">
            <v>4470</v>
          </cell>
          <cell r="N14">
            <v>4320</v>
          </cell>
          <cell r="O14">
            <v>4464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530367.7942185501</v>
          </cell>
          <cell r="E16">
            <v>477681.98263384</v>
          </cell>
          <cell r="F16">
            <v>525853.40814721</v>
          </cell>
          <cell r="G16">
            <v>189875.9545487901</v>
          </cell>
          <cell r="H16">
            <v>251703.01325797004</v>
          </cell>
          <cell r="I16">
            <v>416847.32644068</v>
          </cell>
          <cell r="J16">
            <v>530333.5139839199</v>
          </cell>
          <cell r="K16">
            <v>528171.9579220777</v>
          </cell>
          <cell r="L16">
            <v>400758.3817403899</v>
          </cell>
          <cell r="M16">
            <v>379775.79552438</v>
          </cell>
          <cell r="N16">
            <v>371622.63955394</v>
          </cell>
          <cell r="O16">
            <v>348434.50501186005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AL "/>
      <sheetName val="DISBALANCAT"/>
      <sheetName val="MWh"/>
    </sheetNames>
    <sheetDataSet>
      <sheetData sheetId="1">
        <row r="4">
          <cell r="Z4" t="str">
            <v>TOTALI 2022</v>
          </cell>
        </row>
        <row r="7">
          <cell r="A7" t="str">
            <v>KURUM INTERNATIONAL</v>
          </cell>
        </row>
        <row r="9">
          <cell r="A9" t="str">
            <v>DEVOLL HP</v>
          </cell>
        </row>
        <row r="15">
          <cell r="A15" t="str">
            <v>ENERGIA GAS &amp; POWER ALBANIA</v>
          </cell>
        </row>
        <row r="17">
          <cell r="A17" t="str">
            <v>ENERGY 24</v>
          </cell>
        </row>
        <row r="20">
          <cell r="A20" t="str">
            <v>AYEN AS ENERGJI</v>
          </cell>
        </row>
        <row r="22">
          <cell r="A22" t="str">
            <v>GSA</v>
          </cell>
        </row>
        <row r="24">
          <cell r="A24" t="str">
            <v>Albanian Energy Supplier AES</v>
          </cell>
        </row>
        <row r="28">
          <cell r="A28" t="str">
            <v>Furnizuesi I Tregut të Lirë FTL (OSHEE Grup)</v>
          </cell>
        </row>
        <row r="30">
          <cell r="A30" t="str">
            <v>KESH (Pale Pergjegjese Balancuese)</v>
          </cell>
        </row>
        <row r="32">
          <cell r="A32" t="str">
            <v>EZ-5 ENERGY</v>
          </cell>
        </row>
        <row r="38">
          <cell r="A38" t="str">
            <v>OST - HUMBJET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7"/>
      <sheetName val="02.07"/>
      <sheetName val="03.07"/>
      <sheetName val="04.07"/>
      <sheetName val="05.07"/>
      <sheetName val="06.07"/>
      <sheetName val="07.07"/>
      <sheetName val="08.07"/>
      <sheetName val="09.07"/>
      <sheetName val="10.07"/>
      <sheetName val="11.07"/>
      <sheetName val="12.07"/>
      <sheetName val="13.07"/>
      <sheetName val="14.07"/>
      <sheetName val="15.07"/>
      <sheetName val="16.07"/>
      <sheetName val="17.07"/>
      <sheetName val="18.07"/>
      <sheetName val="19.07"/>
      <sheetName val="20.07"/>
      <sheetName val="21.07"/>
      <sheetName val="22.07"/>
      <sheetName val="23.07"/>
      <sheetName val="24.07"/>
      <sheetName val="25.07"/>
      <sheetName val="26.07"/>
      <sheetName val="27.07"/>
      <sheetName val="28.07"/>
      <sheetName val="29.07"/>
      <sheetName val="30.07"/>
      <sheetName val="31.07"/>
      <sheetName val="TOTAL"/>
    </sheetNames>
    <sheetDataSet>
      <sheetData sheetId="31">
        <row r="40">
          <cell r="D40">
            <v>-140</v>
          </cell>
          <cell r="E40">
            <v>-140</v>
          </cell>
          <cell r="F40">
            <v>-140</v>
          </cell>
          <cell r="G40">
            <v>-140</v>
          </cell>
          <cell r="H40">
            <v>-140</v>
          </cell>
          <cell r="I40">
            <v>-140</v>
          </cell>
          <cell r="J40">
            <v>-140</v>
          </cell>
          <cell r="K40">
            <v>-140</v>
          </cell>
          <cell r="L40">
            <v>-140</v>
          </cell>
          <cell r="M40">
            <v>-140</v>
          </cell>
          <cell r="N40">
            <v>-140</v>
          </cell>
          <cell r="O40">
            <v>-140</v>
          </cell>
          <cell r="P40">
            <v>-140</v>
          </cell>
          <cell r="Q40">
            <v>-140</v>
          </cell>
          <cell r="R40">
            <v>-140</v>
          </cell>
          <cell r="S40">
            <v>-140</v>
          </cell>
          <cell r="T40">
            <v>-140</v>
          </cell>
          <cell r="U40">
            <v>-140</v>
          </cell>
          <cell r="V40">
            <v>-140</v>
          </cell>
          <cell r="W40">
            <v>-140</v>
          </cell>
          <cell r="X40">
            <v>-140</v>
          </cell>
          <cell r="Y40">
            <v>-140</v>
          </cell>
          <cell r="Z40">
            <v>-140</v>
          </cell>
          <cell r="AA40">
            <v>-140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3"/>
  <sheetViews>
    <sheetView showGridLines="0" tabSelected="1" view="pageBreakPreview" zoomScaleSheetLayoutView="100" zoomScalePageLayoutView="0" workbookViewId="0" topLeftCell="C33">
      <selection activeCell="I63" sqref="I63:P63"/>
    </sheetView>
  </sheetViews>
  <sheetFormatPr defaultColWidth="23.140625" defaultRowHeight="15"/>
  <cols>
    <col min="1" max="1" width="10.28125" style="322" customWidth="1"/>
    <col min="2" max="2" width="34.8515625" style="322" customWidth="1"/>
    <col min="3" max="3" width="20.57421875" style="322" customWidth="1"/>
    <col min="4" max="4" width="7.140625" style="322" customWidth="1"/>
    <col min="5" max="16" width="12.7109375" style="322" customWidth="1"/>
    <col min="17" max="17" width="20.140625" style="322" customWidth="1"/>
    <col min="18" max="18" width="8.8515625" style="322" customWidth="1"/>
    <col min="19" max="19" width="10.7109375" style="322" customWidth="1"/>
    <col min="20" max="16384" width="23.140625" style="322" customWidth="1"/>
  </cols>
  <sheetData>
    <row r="1" spans="2:17" ht="24.75" customHeight="1" thickBot="1">
      <c r="B1" s="1628" t="s">
        <v>1352</v>
      </c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1629"/>
      <c r="O1" s="1629"/>
      <c r="P1" s="1629"/>
      <c r="Q1" s="1630"/>
    </row>
    <row r="2" spans="2:17" ht="24.75" customHeight="1"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</row>
    <row r="3" spans="2:17" ht="24.75" customHeight="1">
      <c r="B3" s="1631" t="s">
        <v>767</v>
      </c>
      <c r="C3" s="1631"/>
      <c r="D3" s="1484"/>
      <c r="E3" s="1632" t="s">
        <v>747</v>
      </c>
      <c r="F3" s="1632"/>
      <c r="G3" s="1632"/>
      <c r="H3" s="1633" t="s">
        <v>748</v>
      </c>
      <c r="I3" s="1633"/>
      <c r="J3" s="1637" t="s">
        <v>744</v>
      </c>
      <c r="K3" s="1638"/>
      <c r="L3" s="1638"/>
      <c r="M3" s="1638"/>
      <c r="N3" s="1638"/>
      <c r="O3" s="1639"/>
      <c r="P3" s="1436"/>
      <c r="Q3" s="1634" t="s">
        <v>99</v>
      </c>
    </row>
    <row r="4" spans="2:17" ht="69.75" customHeight="1">
      <c r="B4" s="1635" t="s">
        <v>550</v>
      </c>
      <c r="C4" s="1636"/>
      <c r="D4" s="1484"/>
      <c r="E4" s="1485" t="s">
        <v>1430</v>
      </c>
      <c r="F4" s="1485" t="s">
        <v>742</v>
      </c>
      <c r="G4" s="1486" t="s">
        <v>635</v>
      </c>
      <c r="H4" s="1487" t="s">
        <v>743</v>
      </c>
      <c r="I4" s="1487" t="s">
        <v>91</v>
      </c>
      <c r="J4" s="1488" t="s">
        <v>144</v>
      </c>
      <c r="K4" s="1488" t="s">
        <v>713</v>
      </c>
      <c r="L4" s="1489" t="s">
        <v>62</v>
      </c>
      <c r="M4" s="1488" t="s">
        <v>100</v>
      </c>
      <c r="N4" s="1488" t="s">
        <v>482</v>
      </c>
      <c r="O4" s="1488" t="s">
        <v>1048</v>
      </c>
      <c r="P4" s="1490"/>
      <c r="Q4" s="1634"/>
    </row>
    <row r="5" spans="2:17" ht="24.75" customHeight="1" thickBot="1">
      <c r="B5" s="1640">
        <v>3859730</v>
      </c>
      <c r="C5" s="1641"/>
      <c r="D5" s="1491"/>
      <c r="E5" s="1492">
        <v>25423</v>
      </c>
      <c r="F5" s="1493">
        <v>777899</v>
      </c>
      <c r="G5" s="1494">
        <v>50092</v>
      </c>
      <c r="H5" s="1495">
        <v>894128</v>
      </c>
      <c r="I5" s="1496">
        <v>236276</v>
      </c>
      <c r="J5" s="1497">
        <v>167931</v>
      </c>
      <c r="K5" s="1497">
        <v>322491</v>
      </c>
      <c r="L5" s="1498">
        <v>344918</v>
      </c>
      <c r="M5" s="1497">
        <v>91390</v>
      </c>
      <c r="N5" s="1497">
        <v>230338</v>
      </c>
      <c r="O5" s="1497">
        <v>2029</v>
      </c>
      <c r="P5" s="1499"/>
      <c r="Q5" s="1500">
        <f>B5+E5+F5+G5+H5+I5+J5+K5+L5+M5+N5+O5</f>
        <v>7002645</v>
      </c>
    </row>
    <row r="6" spans="2:17" ht="13.5">
      <c r="B6" s="1581" t="s">
        <v>1075</v>
      </c>
      <c r="C6" s="1502">
        <v>1460962</v>
      </c>
      <c r="D6" s="1491"/>
      <c r="E6" s="1503"/>
      <c r="F6" s="1504"/>
      <c r="G6" s="1505"/>
      <c r="H6" s="1506"/>
      <c r="I6" s="1504"/>
      <c r="J6" s="1507"/>
      <c r="K6" s="1507"/>
      <c r="L6" s="1508"/>
      <c r="M6" s="1507"/>
      <c r="N6" s="1507"/>
      <c r="O6" s="1507"/>
      <c r="P6" s="1490"/>
      <c r="Q6" s="1504"/>
    </row>
    <row r="7" spans="2:16" ht="13.5">
      <c r="B7" s="1501" t="s">
        <v>1076</v>
      </c>
      <c r="C7" s="1502">
        <f>B5+C6</f>
        <v>5320692</v>
      </c>
      <c r="D7" s="1484"/>
      <c r="E7" s="1509"/>
      <c r="H7" s="1510"/>
      <c r="P7" s="1511"/>
    </row>
    <row r="8" spans="2:5" ht="13.5">
      <c r="B8" s="1512" t="s">
        <v>1421</v>
      </c>
      <c r="C8" s="1652">
        <f>C7-C11</f>
        <v>369266</v>
      </c>
      <c r="D8" s="1484"/>
      <c r="E8" s="1509"/>
    </row>
    <row r="9" spans="2:17" ht="13.5">
      <c r="B9" s="1512" t="s">
        <v>1422</v>
      </c>
      <c r="C9" s="1653"/>
      <c r="D9" s="1484"/>
      <c r="E9" s="1509"/>
      <c r="K9" s="1513"/>
      <c r="N9" s="324"/>
      <c r="Q9" s="324"/>
    </row>
    <row r="10" spans="2:5" ht="13.5">
      <c r="B10" s="1512" t="s">
        <v>1227</v>
      </c>
      <c r="C10" s="1654"/>
      <c r="D10" s="1484"/>
      <c r="E10" s="1509"/>
    </row>
    <row r="11" spans="2:14" ht="13.5">
      <c r="B11" s="1582" t="s">
        <v>745</v>
      </c>
      <c r="C11" s="1514">
        <v>4951426</v>
      </c>
      <c r="D11" s="1484"/>
      <c r="E11" s="1509"/>
      <c r="N11" s="1513"/>
    </row>
    <row r="12" spans="2:19" ht="24.75" customHeight="1" thickBot="1">
      <c r="B12" s="1484"/>
      <c r="C12" s="1515"/>
      <c r="D12" s="1516"/>
      <c r="E12" s="1517"/>
      <c r="G12" s="324"/>
      <c r="S12" s="324"/>
    </row>
    <row r="13" spans="3:17" ht="24.75" customHeight="1">
      <c r="C13" s="1518"/>
      <c r="D13" s="1519"/>
      <c r="E13" s="1642" t="s">
        <v>746</v>
      </c>
      <c r="F13" s="1642"/>
      <c r="G13" s="1642"/>
      <c r="H13" s="1642"/>
      <c r="I13" s="1642"/>
      <c r="J13" s="1642"/>
      <c r="K13" s="1642"/>
      <c r="L13" s="1520"/>
      <c r="M13" s="350"/>
      <c r="N13" s="1651"/>
      <c r="O13" s="1651"/>
      <c r="Q13" s="1643" t="s">
        <v>1049</v>
      </c>
    </row>
    <row r="14" spans="3:17" ht="79.5" customHeight="1">
      <c r="C14" s="1436"/>
      <c r="D14" s="1521"/>
      <c r="E14" s="1522" t="s">
        <v>762</v>
      </c>
      <c r="F14" s="1523" t="s">
        <v>763</v>
      </c>
      <c r="G14" s="1524" t="s">
        <v>764</v>
      </c>
      <c r="H14" s="1523" t="s">
        <v>765</v>
      </c>
      <c r="I14" s="1523" t="s">
        <v>766</v>
      </c>
      <c r="J14" s="1646" t="s">
        <v>741</v>
      </c>
      <c r="K14" s="1646"/>
      <c r="L14" s="1525" t="s">
        <v>998</v>
      </c>
      <c r="M14" s="350"/>
      <c r="N14" s="1649"/>
      <c r="O14" s="1649"/>
      <c r="Q14" s="1644"/>
    </row>
    <row r="15" spans="3:17" ht="13.5">
      <c r="C15" s="1504"/>
      <c r="D15" s="1521"/>
      <c r="E15" s="1526">
        <f>E5</f>
        <v>25423</v>
      </c>
      <c r="F15" s="1526">
        <f>F5</f>
        <v>777899</v>
      </c>
      <c r="G15" s="1526">
        <f>G5</f>
        <v>50092</v>
      </c>
      <c r="H15" s="1526">
        <f>H5</f>
        <v>894128</v>
      </c>
      <c r="I15" s="1526">
        <f>I5</f>
        <v>236276</v>
      </c>
      <c r="J15" s="1647">
        <v>91440</v>
      </c>
      <c r="K15" s="1648"/>
      <c r="L15" s="1527">
        <v>213</v>
      </c>
      <c r="M15" s="1528"/>
      <c r="N15" s="1650"/>
      <c r="O15" s="1650"/>
      <c r="Q15" s="1644"/>
    </row>
    <row r="16" spans="3:18" ht="13.5">
      <c r="C16" s="1516"/>
      <c r="D16" s="1529"/>
      <c r="E16" s="1655">
        <f>E15+F15+G15+H15+I15+J15+L15</f>
        <v>2075471</v>
      </c>
      <c r="F16" s="1655"/>
      <c r="G16" s="1655"/>
      <c r="H16" s="1655"/>
      <c r="I16" s="1655"/>
      <c r="J16" s="1655"/>
      <c r="K16" s="1655"/>
      <c r="L16" s="1655"/>
      <c r="M16" s="1530"/>
      <c r="N16" s="1530"/>
      <c r="O16" s="1530"/>
      <c r="Q16" s="1644"/>
      <c r="R16" s="349"/>
    </row>
    <row r="17" spans="3:17" ht="24.75" customHeight="1" thickBot="1">
      <c r="C17" s="1516"/>
      <c r="D17" s="1531"/>
      <c r="E17" s="1531"/>
      <c r="F17" s="1531"/>
      <c r="G17" s="1531"/>
      <c r="H17" s="1531"/>
      <c r="I17" s="1531"/>
      <c r="J17" s="1531"/>
      <c r="Q17" s="1645"/>
    </row>
    <row r="18" spans="3:17" ht="24.75" customHeight="1" thickBot="1">
      <c r="C18" s="1516"/>
      <c r="D18" s="1531"/>
      <c r="E18" s="1531"/>
      <c r="F18" s="1531"/>
      <c r="G18" s="1531"/>
      <c r="H18" s="1531"/>
      <c r="I18" s="1531"/>
      <c r="J18" s="1531"/>
      <c r="L18" s="324"/>
      <c r="M18" s="324"/>
      <c r="Q18" s="1016">
        <v>921006</v>
      </c>
    </row>
    <row r="19" spans="3:10" ht="24.75" customHeight="1">
      <c r="C19" s="1516"/>
      <c r="D19" s="1531"/>
      <c r="E19" s="1531"/>
      <c r="F19" s="1531"/>
      <c r="G19" s="1531"/>
      <c r="H19" s="1531"/>
      <c r="I19" s="1531"/>
      <c r="J19" s="1531"/>
    </row>
    <row r="20" spans="3:10" ht="24.75" customHeight="1">
      <c r="C20" s="1516"/>
      <c r="D20" s="1531"/>
      <c r="E20" s="1531"/>
      <c r="F20" s="1531"/>
      <c r="G20" s="1531"/>
      <c r="H20" s="1531"/>
      <c r="I20" s="1531"/>
      <c r="J20" s="1531"/>
    </row>
    <row r="21" spans="3:20" ht="15" customHeight="1">
      <c r="C21" s="1516"/>
      <c r="D21" s="1531"/>
      <c r="E21" s="1531"/>
      <c r="F21" s="1531"/>
      <c r="G21" s="1531"/>
      <c r="H21" s="1531"/>
      <c r="I21" s="1531"/>
      <c r="J21" s="1531"/>
      <c r="T21" s="1532"/>
    </row>
    <row r="22" spans="3:15" ht="57" customHeight="1">
      <c r="C22" s="1533" t="s">
        <v>758</v>
      </c>
      <c r="D22" s="1534"/>
      <c r="E22" s="1535" t="s">
        <v>751</v>
      </c>
      <c r="H22" s="1536" t="s">
        <v>749</v>
      </c>
      <c r="I22" s="1537"/>
      <c r="J22" s="1538" t="s">
        <v>962</v>
      </c>
      <c r="L22" s="1539" t="s">
        <v>961</v>
      </c>
      <c r="N22" s="1618" t="s">
        <v>760</v>
      </c>
      <c r="O22" s="1618"/>
    </row>
    <row r="23" spans="3:17" ht="14.25">
      <c r="C23" s="1540">
        <f>C11</f>
        <v>4951426</v>
      </c>
      <c r="D23" s="1541"/>
      <c r="E23" s="1542">
        <f>E16-H23-J23-L23-N28</f>
        <v>567022</v>
      </c>
      <c r="F23" s="1543"/>
      <c r="G23" s="1543"/>
      <c r="H23" s="1583">
        <v>1457840</v>
      </c>
      <c r="I23" s="1544"/>
      <c r="J23" s="1545">
        <v>32402</v>
      </c>
      <c r="K23" s="1543"/>
      <c r="L23" s="1546">
        <v>0</v>
      </c>
      <c r="N23" s="1618"/>
      <c r="O23" s="1618"/>
      <c r="Q23" s="324"/>
    </row>
    <row r="24" spans="3:15" ht="13.5">
      <c r="C24" s="1617">
        <f>C23+E23</f>
        <v>5518448</v>
      </c>
      <c r="D24" s="1617"/>
      <c r="E24" s="1617"/>
      <c r="H24" s="1625"/>
      <c r="I24" s="1547"/>
      <c r="J24" s="1600"/>
      <c r="L24" s="1620"/>
      <c r="N24" s="1618"/>
      <c r="O24" s="1618"/>
    </row>
    <row r="25" spans="2:15" ht="13.5">
      <c r="B25" s="1548">
        <f>C24-C27</f>
        <v>5518448</v>
      </c>
      <c r="C25" s="1623" t="s">
        <v>757</v>
      </c>
      <c r="D25" s="1624"/>
      <c r="E25" s="1624"/>
      <c r="H25" s="1626"/>
      <c r="I25" s="1547"/>
      <c r="J25" s="1601"/>
      <c r="L25" s="1621"/>
      <c r="N25" s="1618"/>
      <c r="O25" s="1618"/>
    </row>
    <row r="26" spans="2:17" ht="13.5">
      <c r="B26" s="1549" t="s">
        <v>1013</v>
      </c>
      <c r="C26" s="1603" t="s">
        <v>750</v>
      </c>
      <c r="D26" s="1603"/>
      <c r="E26" s="1604"/>
      <c r="H26" s="1626"/>
      <c r="I26" s="1547"/>
      <c r="J26" s="1601"/>
      <c r="L26" s="1621"/>
      <c r="N26" s="1618"/>
      <c r="O26" s="1618"/>
      <c r="Q26" s="349"/>
    </row>
    <row r="27" spans="2:17" ht="13.5">
      <c r="B27" s="1550"/>
      <c r="C27" s="1616"/>
      <c r="D27" s="1616"/>
      <c r="E27" s="1616"/>
      <c r="H27" s="1626"/>
      <c r="I27" s="1547"/>
      <c r="J27" s="1601"/>
      <c r="L27" s="1621"/>
      <c r="N27" s="1618"/>
      <c r="O27" s="1618"/>
      <c r="Q27" s="349"/>
    </row>
    <row r="28" spans="2:15" ht="14.25">
      <c r="B28" s="1550" t="s">
        <v>1012</v>
      </c>
      <c r="C28" s="1551"/>
      <c r="D28" s="1551"/>
      <c r="E28" s="1552"/>
      <c r="H28" s="1626"/>
      <c r="I28" s="1547"/>
      <c r="J28" s="1601"/>
      <c r="L28" s="1621"/>
      <c r="N28" s="1619">
        <v>18207</v>
      </c>
      <c r="O28" s="1619"/>
    </row>
    <row r="29" spans="2:15" ht="13.5">
      <c r="B29" s="1553"/>
      <c r="C29" s="1554"/>
      <c r="D29" s="1554"/>
      <c r="E29" s="1555"/>
      <c r="F29" s="349"/>
      <c r="G29" s="349"/>
      <c r="H29" s="1627"/>
      <c r="I29" s="1547"/>
      <c r="J29" s="1602"/>
      <c r="L29" s="1622"/>
      <c r="N29" s="1619">
        <v>-18207</v>
      </c>
      <c r="O29" s="1619"/>
    </row>
    <row r="30" spans="2:7" ht="13.5">
      <c r="B30" s="349"/>
      <c r="C30" s="349"/>
      <c r="D30" s="349"/>
      <c r="E30" s="349"/>
      <c r="F30" s="349"/>
      <c r="G30" s="349"/>
    </row>
    <row r="31" spans="2:7" ht="13.5">
      <c r="B31" s="1556"/>
      <c r="C31" s="1556"/>
      <c r="D31" s="1556"/>
      <c r="E31" s="1556"/>
      <c r="F31" s="1556"/>
      <c r="G31" s="1557"/>
    </row>
    <row r="32" spans="2:7" ht="13.5">
      <c r="B32" s="1556"/>
      <c r="C32" s="1556"/>
      <c r="D32" s="1556"/>
      <c r="E32" s="1556"/>
      <c r="F32" s="1556"/>
      <c r="G32" s="1558"/>
    </row>
    <row r="33" spans="2:7" ht="13.5">
      <c r="B33" s="1559"/>
      <c r="C33" s="1559"/>
      <c r="D33" s="1559"/>
      <c r="E33" s="1559"/>
      <c r="F33" s="1559"/>
      <c r="G33" s="1558"/>
    </row>
    <row r="34" spans="2:7" ht="13.5">
      <c r="B34" s="1556"/>
      <c r="C34" s="1556"/>
      <c r="D34" s="1556"/>
      <c r="E34" s="1556"/>
      <c r="F34" s="1556"/>
      <c r="G34" s="1560"/>
    </row>
    <row r="35" spans="2:7" ht="13.5">
      <c r="B35" s="1556"/>
      <c r="C35" s="1556"/>
      <c r="D35" s="1556"/>
      <c r="E35" s="1556"/>
      <c r="F35" s="1556"/>
      <c r="G35" s="1560"/>
    </row>
    <row r="36" spans="2:18" ht="14.25">
      <c r="B36" s="1609" t="s">
        <v>85</v>
      </c>
      <c r="C36" s="1609"/>
      <c r="D36" s="1609"/>
      <c r="E36" s="1561">
        <f>Q51</f>
        <v>7923651.379548193</v>
      </c>
      <c r="F36" s="1556"/>
      <c r="G36" s="1584">
        <f>Q36-E36</f>
        <v>-0.37954819295555353</v>
      </c>
      <c r="H36" s="324"/>
      <c r="I36" s="324"/>
      <c r="Q36" s="1615">
        <f>Q5+Q18</f>
        <v>7923651</v>
      </c>
      <c r="R36" s="324"/>
    </row>
    <row r="37" spans="12:17" ht="12" customHeight="1">
      <c r="L37" s="324"/>
      <c r="Q37" s="1615"/>
    </row>
    <row r="38" spans="9:17" ht="12" customHeight="1">
      <c r="I38" s="1610"/>
      <c r="J38" s="1611"/>
      <c r="K38" s="1611"/>
      <c r="L38" s="1611"/>
      <c r="M38" s="1611"/>
      <c r="N38" s="1611"/>
      <c r="O38" s="1611"/>
      <c r="P38" s="1611"/>
      <c r="Q38" s="1562"/>
    </row>
    <row r="39" spans="12:17" ht="12" customHeight="1">
      <c r="L39" s="324"/>
      <c r="Q39" s="1562"/>
    </row>
    <row r="40" spans="12:17" ht="12" customHeight="1">
      <c r="L40" s="324"/>
      <c r="Q40" s="1562"/>
    </row>
    <row r="41" spans="2:17" ht="12" customHeight="1">
      <c r="B41" s="1609" t="s">
        <v>85</v>
      </c>
      <c r="C41" s="1609"/>
      <c r="D41" s="1609"/>
      <c r="E41" s="1563" t="s">
        <v>12</v>
      </c>
      <c r="F41" s="1563" t="s">
        <v>13</v>
      </c>
      <c r="G41" s="1563" t="s">
        <v>14</v>
      </c>
      <c r="H41" s="1563" t="s">
        <v>15</v>
      </c>
      <c r="I41" s="1563" t="s">
        <v>16</v>
      </c>
      <c r="J41" s="1563" t="s">
        <v>17</v>
      </c>
      <c r="K41" s="1563" t="s">
        <v>18</v>
      </c>
      <c r="L41" s="1563" t="s">
        <v>19</v>
      </c>
      <c r="M41" s="1563" t="s">
        <v>20</v>
      </c>
      <c r="N41" s="1563" t="s">
        <v>21</v>
      </c>
      <c r="O41" s="1563" t="s">
        <v>22</v>
      </c>
      <c r="P41" s="1563" t="s">
        <v>23</v>
      </c>
      <c r="Q41" s="1564">
        <v>2022</v>
      </c>
    </row>
    <row r="42" spans="2:17" ht="12" customHeight="1">
      <c r="B42" s="1605" t="s">
        <v>752</v>
      </c>
      <c r="C42" s="1605"/>
      <c r="D42" s="1605"/>
      <c r="E42" s="1565">
        <v>454821.8979</v>
      </c>
      <c r="F42" s="1566">
        <v>426809.82335</v>
      </c>
      <c r="G42" s="1566">
        <v>428152.470075</v>
      </c>
      <c r="H42" s="1566">
        <v>350669.54857</v>
      </c>
      <c r="I42" s="1566">
        <v>315874.12911000004</v>
      </c>
      <c r="J42" s="1566">
        <v>331988.6188899999</v>
      </c>
      <c r="K42" s="1566">
        <v>370697.669091</v>
      </c>
      <c r="L42" s="1566">
        <v>377795.98201000004</v>
      </c>
      <c r="M42" s="1566">
        <v>314583.85550000006</v>
      </c>
      <c r="N42" s="1566">
        <v>299399</v>
      </c>
      <c r="O42" s="1566">
        <v>332238.49346900004</v>
      </c>
      <c r="P42" s="1566">
        <v>405562.934579</v>
      </c>
      <c r="Q42" s="1567">
        <v>4408595</v>
      </c>
    </row>
    <row r="43" spans="2:17" ht="12" customHeight="1">
      <c r="B43" s="1605" t="s">
        <v>753</v>
      </c>
      <c r="C43" s="1605"/>
      <c r="D43" s="1605"/>
      <c r="E43" s="1566">
        <v>84224.20670000001</v>
      </c>
      <c r="F43" s="1566">
        <v>87385.97482100001</v>
      </c>
      <c r="G43" s="1566">
        <v>92817.772664</v>
      </c>
      <c r="H43" s="1566">
        <v>81530.429</v>
      </c>
      <c r="I43" s="1566">
        <v>88357.679</v>
      </c>
      <c r="J43" s="1566">
        <v>95101.2993</v>
      </c>
      <c r="K43" s="1566">
        <v>103493.04081200002</v>
      </c>
      <c r="L43" s="1566">
        <v>102216.089088</v>
      </c>
      <c r="M43" s="1566">
        <v>88353.7248</v>
      </c>
      <c r="N43" s="1566">
        <v>86577</v>
      </c>
      <c r="O43" s="806">
        <v>95719.35459999999</v>
      </c>
      <c r="P43" s="806">
        <v>96566.35519999999</v>
      </c>
      <c r="Q43" s="1567">
        <v>1102342.925985</v>
      </c>
    </row>
    <row r="44" spans="2:17" ht="12" customHeight="1">
      <c r="B44" s="1605" t="s">
        <v>960</v>
      </c>
      <c r="C44" s="1605"/>
      <c r="D44" s="1605"/>
      <c r="E44" s="1568">
        <v>2130.24</v>
      </c>
      <c r="F44" s="1568">
        <v>3675.8999999999996</v>
      </c>
      <c r="G44" s="1568">
        <v>1769.28</v>
      </c>
      <c r="H44" s="1568">
        <v>1050.9</v>
      </c>
      <c r="I44" s="1568">
        <v>378.36</v>
      </c>
      <c r="J44" s="1568">
        <v>913.8</v>
      </c>
      <c r="K44" s="1568">
        <v>3406.92</v>
      </c>
      <c r="L44" s="1568">
        <v>3562.62</v>
      </c>
      <c r="M44" s="1568">
        <v>1458.12</v>
      </c>
      <c r="N44" s="1569">
        <v>1428</v>
      </c>
      <c r="O44" s="1374">
        <v>1098.06</v>
      </c>
      <c r="P44" s="1374">
        <v>4342.08</v>
      </c>
      <c r="Q44" s="1567">
        <v>25215</v>
      </c>
    </row>
    <row r="45" spans="2:17" ht="13.5">
      <c r="B45" s="1605" t="s">
        <v>761</v>
      </c>
      <c r="C45" s="1605"/>
      <c r="D45" s="1605"/>
      <c r="E45" s="1570">
        <v>70.60197099999999</v>
      </c>
      <c r="F45" s="1570">
        <v>61.030153</v>
      </c>
      <c r="G45" s="1570">
        <v>66.02958599999998</v>
      </c>
      <c r="H45" s="1570">
        <v>15.059512</v>
      </c>
      <c r="I45" s="1570">
        <v>0</v>
      </c>
      <c r="J45" s="1570">
        <v>0</v>
      </c>
      <c r="K45" s="1570">
        <v>0</v>
      </c>
      <c r="L45" s="1570">
        <v>0</v>
      </c>
      <c r="M45" s="1570">
        <v>0</v>
      </c>
      <c r="N45" s="1571">
        <v>0</v>
      </c>
      <c r="O45" s="1566">
        <v>0</v>
      </c>
      <c r="P45" s="1566">
        <v>0</v>
      </c>
      <c r="Q45" s="1567">
        <v>212.72122199999998</v>
      </c>
    </row>
    <row r="46" spans="2:20" ht="14.25">
      <c r="B46" s="1606" t="s">
        <v>756</v>
      </c>
      <c r="C46" s="1606"/>
      <c r="D46" s="1606"/>
      <c r="E46" s="1572">
        <v>2478.3376000000003</v>
      </c>
      <c r="F46" s="1572">
        <v>1681.9479</v>
      </c>
      <c r="G46" s="1566">
        <v>2074.377</v>
      </c>
      <c r="H46" s="1566">
        <v>1950.6516000000001</v>
      </c>
      <c r="I46" s="1566">
        <v>2312.2702999999997</v>
      </c>
      <c r="J46" s="1566">
        <v>1905.2686999999999</v>
      </c>
      <c r="K46" s="1566">
        <v>1409.0666</v>
      </c>
      <c r="L46" s="1566">
        <v>1427.200929032258</v>
      </c>
      <c r="M46" s="1566">
        <v>994.6758000000001</v>
      </c>
      <c r="N46" s="1566">
        <v>843</v>
      </c>
      <c r="O46" s="779">
        <v>619.623</v>
      </c>
      <c r="P46" s="779">
        <v>510.767</v>
      </c>
      <c r="Q46" s="1567">
        <v>18207.1864290323</v>
      </c>
      <c r="T46" s="324"/>
    </row>
    <row r="47" spans="2:20" ht="14.25">
      <c r="B47" s="1605" t="s">
        <v>759</v>
      </c>
      <c r="C47" s="1605"/>
      <c r="D47" s="1605"/>
      <c r="E47" s="1568">
        <v>2031.1173999999999</v>
      </c>
      <c r="F47" s="1568">
        <v>2094.0661</v>
      </c>
      <c r="G47" s="1568">
        <v>2359.7547999999997</v>
      </c>
      <c r="H47" s="1568">
        <v>2065.9087999999997</v>
      </c>
      <c r="I47" s="1568">
        <v>2128.7227000000003</v>
      </c>
      <c r="J47" s="1568">
        <v>2920.8397999999997</v>
      </c>
      <c r="K47" s="1568">
        <v>3561.6257</v>
      </c>
      <c r="L47" s="1568">
        <v>3532.5022</v>
      </c>
      <c r="M47" s="1568">
        <v>3603.0618999999997</v>
      </c>
      <c r="N47" s="1569">
        <v>2555</v>
      </c>
      <c r="O47" s="1374">
        <v>2777.6884</v>
      </c>
      <c r="P47" s="1374">
        <v>2770.4842999999996</v>
      </c>
      <c r="Q47" s="1567">
        <v>32402</v>
      </c>
      <c r="T47" s="324"/>
    </row>
    <row r="48" spans="2:20" ht="14.25">
      <c r="B48" s="1605" t="s">
        <v>755</v>
      </c>
      <c r="C48" s="1605"/>
      <c r="D48" s="1605"/>
      <c r="E48" s="1566">
        <v>228398.31949267013</v>
      </c>
      <c r="F48" s="1566">
        <v>134805.94565377</v>
      </c>
      <c r="G48" s="1566">
        <v>171817.6706821199</v>
      </c>
      <c r="H48" s="1566">
        <v>118995.22480809025</v>
      </c>
      <c r="I48" s="1566">
        <v>95173.27254456008</v>
      </c>
      <c r="J48" s="1566">
        <v>92679.02300803008</v>
      </c>
      <c r="K48" s="1566">
        <v>109306.32928953005</v>
      </c>
      <c r="L48" s="1566">
        <v>98991.34263163758</v>
      </c>
      <c r="M48" s="1566">
        <v>72891.90301835</v>
      </c>
      <c r="N48" s="1566">
        <v>90157</v>
      </c>
      <c r="O48" s="806">
        <v>103810.01785787003</v>
      </c>
      <c r="P48" s="806">
        <v>140813.77911369002</v>
      </c>
      <c r="Q48" s="1567">
        <v>1457839.82810032</v>
      </c>
      <c r="T48" s="324"/>
    </row>
    <row r="49" spans="2:17" ht="13.5">
      <c r="B49" s="1606" t="s">
        <v>754</v>
      </c>
      <c r="C49" s="1606"/>
      <c r="D49" s="1606"/>
      <c r="E49" s="1570">
        <v>42911.32747829999</v>
      </c>
      <c r="F49" s="1570">
        <v>62366.072874260004</v>
      </c>
      <c r="G49" s="1570">
        <v>75227.04438462004</v>
      </c>
      <c r="H49" s="1570">
        <v>86590.02445020998</v>
      </c>
      <c r="I49" s="1570">
        <v>86343.52674769003</v>
      </c>
      <c r="J49" s="1570">
        <v>81077.46529795002</v>
      </c>
      <c r="K49" s="1570">
        <v>54925.69662582</v>
      </c>
      <c r="L49" s="1570">
        <v>48854.022797840014</v>
      </c>
      <c r="M49" s="1570">
        <v>30360.5207069</v>
      </c>
      <c r="N49" s="1570">
        <v>20221</v>
      </c>
      <c r="O49" s="1573">
        <v>50792.044205139995</v>
      </c>
      <c r="P49" s="1573">
        <v>39173.89169987999</v>
      </c>
      <c r="Q49" s="1567">
        <v>678842.63726861</v>
      </c>
    </row>
    <row r="50" spans="2:17" ht="13.5">
      <c r="B50" s="1606" t="s">
        <v>97</v>
      </c>
      <c r="C50" s="1606"/>
      <c r="D50" s="1606"/>
      <c r="E50" s="1570">
        <v>17792.251125910163</v>
      </c>
      <c r="F50" s="1570">
        <v>14697.312015100002</v>
      </c>
      <c r="G50" s="1570">
        <v>15237.403193799972</v>
      </c>
      <c r="H50" s="1570">
        <v>24524.84803970003</v>
      </c>
      <c r="I50" s="1570">
        <v>17692.81080914986</v>
      </c>
      <c r="J50" s="1570">
        <v>13455.266731220006</v>
      </c>
      <c r="K50" s="1570">
        <v>17257.64721992016</v>
      </c>
      <c r="L50" s="1570">
        <v>16942.442565160036</v>
      </c>
      <c r="M50" s="1570">
        <v>12529.258744780063</v>
      </c>
      <c r="N50" s="1571">
        <v>10936</v>
      </c>
      <c r="O50" s="1574">
        <v>14973.49077648008</v>
      </c>
      <c r="P50" s="1574">
        <v>23955.349322009803</v>
      </c>
      <c r="Q50" s="1567">
        <v>199994.08054323</v>
      </c>
    </row>
    <row r="51" spans="2:17" ht="14.25" thickBot="1">
      <c r="B51" s="1607" t="s">
        <v>1420</v>
      </c>
      <c r="C51" s="1607"/>
      <c r="D51" s="1607"/>
      <c r="E51" s="1575">
        <v>834858.2996678802</v>
      </c>
      <c r="F51" s="1575">
        <v>733578.0728671302</v>
      </c>
      <c r="G51" s="1575">
        <v>789521.80238554</v>
      </c>
      <c r="H51" s="1575">
        <v>667392.5947800003</v>
      </c>
      <c r="I51" s="1575">
        <v>608260.7712113999</v>
      </c>
      <c r="J51" s="1575">
        <v>620041.5817272002</v>
      </c>
      <c r="K51" s="1575">
        <v>664057.9953382702</v>
      </c>
      <c r="L51" s="1575">
        <v>653322.20222167</v>
      </c>
      <c r="M51" s="1575">
        <v>524775.1204700301</v>
      </c>
      <c r="N51" s="1575">
        <v>512116</v>
      </c>
      <c r="O51" s="1561">
        <v>602028.7723084901</v>
      </c>
      <c r="P51" s="1561">
        <v>713695.6412145799</v>
      </c>
      <c r="Q51" s="1576">
        <f>SUM(Q42:Q50)</f>
        <v>7923651.379548193</v>
      </c>
    </row>
    <row r="52" spans="2:17" ht="13.5">
      <c r="B52" s="1577"/>
      <c r="C52" s="1577"/>
      <c r="D52" s="1577"/>
      <c r="E52" s="1578"/>
      <c r="F52" s="1578"/>
      <c r="G52" s="1578"/>
      <c r="H52" s="1578"/>
      <c r="I52" s="1578"/>
      <c r="J52" s="1578"/>
      <c r="K52" s="1578"/>
      <c r="L52" s="1578"/>
      <c r="M52" s="1578"/>
      <c r="N52" s="1578"/>
      <c r="O52" s="1578"/>
      <c r="P52" s="1578"/>
      <c r="Q52" s="1578"/>
    </row>
    <row r="53" spans="2:14" ht="13.5">
      <c r="B53" s="1577"/>
      <c r="C53" s="1577"/>
      <c r="D53" s="1577"/>
      <c r="E53" s="1578"/>
      <c r="F53" s="1578"/>
      <c r="G53" s="1578"/>
      <c r="H53" s="1578"/>
      <c r="I53" s="1578"/>
      <c r="J53" s="1578"/>
      <c r="K53" s="1578"/>
      <c r="L53" s="1578"/>
      <c r="M53" s="1578"/>
      <c r="N53" s="1578"/>
    </row>
    <row r="54" spans="2:17" ht="14.25">
      <c r="B54" s="1612" t="s">
        <v>752</v>
      </c>
      <c r="C54" s="1613"/>
      <c r="D54" s="1614"/>
      <c r="E54" s="1563" t="s">
        <v>12</v>
      </c>
      <c r="F54" s="1563" t="s">
        <v>13</v>
      </c>
      <c r="G54" s="1563" t="s">
        <v>14</v>
      </c>
      <c r="H54" s="1563" t="s">
        <v>15</v>
      </c>
      <c r="I54" s="1563" t="s">
        <v>16</v>
      </c>
      <c r="J54" s="1563" t="s">
        <v>17</v>
      </c>
      <c r="K54" s="1563" t="s">
        <v>18</v>
      </c>
      <c r="L54" s="1563" t="s">
        <v>19</v>
      </c>
      <c r="M54" s="1563" t="s">
        <v>20</v>
      </c>
      <c r="N54" s="1563" t="s">
        <v>21</v>
      </c>
      <c r="O54" s="1563" t="s">
        <v>22</v>
      </c>
      <c r="P54" s="1563" t="s">
        <v>23</v>
      </c>
      <c r="Q54" s="1564">
        <v>2022</v>
      </c>
    </row>
    <row r="55" spans="2:17" ht="14.25">
      <c r="B55" s="1608" t="s">
        <v>55</v>
      </c>
      <c r="C55" s="1608"/>
      <c r="D55" s="1608"/>
      <c r="E55" s="1566">
        <v>339507.53099999996</v>
      </c>
      <c r="F55" s="1566">
        <v>312500.20399999997</v>
      </c>
      <c r="G55" s="1566">
        <v>311596.45920000004</v>
      </c>
      <c r="H55" s="1566">
        <v>250796.596</v>
      </c>
      <c r="I55" s="1566">
        <v>216134.4614</v>
      </c>
      <c r="J55" s="1566">
        <v>218214.4607</v>
      </c>
      <c r="K55" s="1566">
        <v>240041.856391</v>
      </c>
      <c r="L55" s="1566">
        <v>245943.76132</v>
      </c>
      <c r="M55" s="1566">
        <v>209218.40600000002</v>
      </c>
      <c r="N55" s="1566">
        <v>203864</v>
      </c>
      <c r="O55" s="779">
        <v>232007.43300000002</v>
      </c>
      <c r="P55" s="779">
        <v>292058.29600000003</v>
      </c>
      <c r="Q55" s="807">
        <v>3071883.298011</v>
      </c>
    </row>
    <row r="56" spans="2:17" ht="14.25">
      <c r="B56" s="1608" t="s">
        <v>1309</v>
      </c>
      <c r="C56" s="1608"/>
      <c r="D56" s="1608"/>
      <c r="E56" s="1566">
        <v>93710.3679</v>
      </c>
      <c r="F56" s="1566">
        <v>91568.92735</v>
      </c>
      <c r="G56" s="1566">
        <v>94256.13887499999</v>
      </c>
      <c r="H56" s="1566">
        <v>81272.75157</v>
      </c>
      <c r="I56" s="1566">
        <v>84673.60971</v>
      </c>
      <c r="J56" s="1566">
        <v>99832.65919</v>
      </c>
      <c r="K56" s="1566">
        <v>115255.71370000001</v>
      </c>
      <c r="L56" s="1566">
        <v>117731.85479</v>
      </c>
      <c r="M56" s="1566">
        <v>92944.50050000001</v>
      </c>
      <c r="N56" s="1579">
        <v>82680</v>
      </c>
      <c r="O56" s="806">
        <v>84276.393469</v>
      </c>
      <c r="P56" s="806">
        <v>95488.45657899999</v>
      </c>
      <c r="Q56" s="807">
        <v>1133691.754655</v>
      </c>
    </row>
    <row r="57" spans="2:17" ht="14.25">
      <c r="B57" s="1608" t="s">
        <v>54</v>
      </c>
      <c r="C57" s="1608"/>
      <c r="D57" s="1608"/>
      <c r="E57" s="1566">
        <v>17878.043</v>
      </c>
      <c r="F57" s="1566">
        <v>18634.999</v>
      </c>
      <c r="G57" s="1566">
        <v>18290.953</v>
      </c>
      <c r="H57" s="1566">
        <v>15090.4</v>
      </c>
      <c r="I57" s="1566">
        <v>11921.832</v>
      </c>
      <c r="J57" s="1566">
        <v>10675.48</v>
      </c>
      <c r="K57" s="1566">
        <v>11675.81</v>
      </c>
      <c r="L57" s="1566">
        <v>10469.879</v>
      </c>
      <c r="M57" s="1566">
        <v>9844.184</v>
      </c>
      <c r="N57" s="1565">
        <v>10191</v>
      </c>
      <c r="O57" s="790">
        <v>12748.778</v>
      </c>
      <c r="P57" s="790">
        <v>14724.507</v>
      </c>
      <c r="Q57" s="807">
        <v>162146.194</v>
      </c>
    </row>
    <row r="58" spans="2:17" ht="14.25">
      <c r="B58" s="1608" t="s">
        <v>56</v>
      </c>
      <c r="C58" s="1608"/>
      <c r="D58" s="1608"/>
      <c r="E58" s="1566">
        <v>3725.956</v>
      </c>
      <c r="F58" s="1566">
        <v>4105.693</v>
      </c>
      <c r="G58" s="1566">
        <v>4008.919</v>
      </c>
      <c r="H58" s="1580">
        <v>3509.801</v>
      </c>
      <c r="I58" s="1566">
        <v>3144.226</v>
      </c>
      <c r="J58" s="1566">
        <v>3266.019</v>
      </c>
      <c r="K58" s="1566">
        <v>3724.289</v>
      </c>
      <c r="L58" s="1566">
        <v>3650.4869</v>
      </c>
      <c r="M58" s="1566">
        <v>2576.765</v>
      </c>
      <c r="N58" s="1566">
        <v>2664</v>
      </c>
      <c r="O58" s="790">
        <v>3205.889</v>
      </c>
      <c r="P58" s="790">
        <v>3291.675</v>
      </c>
      <c r="Q58" s="807">
        <v>40874.0509</v>
      </c>
    </row>
    <row r="59" spans="2:17" ht="13.5">
      <c r="B59" s="1606" t="s">
        <v>752</v>
      </c>
      <c r="C59" s="1606"/>
      <c r="D59" s="1606"/>
      <c r="E59" s="1565">
        <f aca="true" t="shared" si="0" ref="E59:N59">SUM(E55:E58)</f>
        <v>454821.8979</v>
      </c>
      <c r="F59" s="1566">
        <f t="shared" si="0"/>
        <v>426809.82335</v>
      </c>
      <c r="G59" s="1566">
        <f t="shared" si="0"/>
        <v>428152.470075</v>
      </c>
      <c r="H59" s="1566">
        <f t="shared" si="0"/>
        <v>350669.54857</v>
      </c>
      <c r="I59" s="1566">
        <f t="shared" si="0"/>
        <v>315874.12911000004</v>
      </c>
      <c r="J59" s="1566">
        <f t="shared" si="0"/>
        <v>331988.6188899999</v>
      </c>
      <c r="K59" s="1566">
        <f t="shared" si="0"/>
        <v>370697.669091</v>
      </c>
      <c r="L59" s="1566">
        <f t="shared" si="0"/>
        <v>377795.98201000004</v>
      </c>
      <c r="M59" s="1566">
        <f t="shared" si="0"/>
        <v>314583.85550000006</v>
      </c>
      <c r="N59" s="1566">
        <f t="shared" si="0"/>
        <v>299399</v>
      </c>
      <c r="O59" s="1566">
        <f>SUM(O55:O58)</f>
        <v>332238.49346900004</v>
      </c>
      <c r="P59" s="1566">
        <f>SUM(P55:P58)</f>
        <v>405562.934579</v>
      </c>
      <c r="Q59" s="1566">
        <f>SUM(Q55:Q58)</f>
        <v>4408595.297566</v>
      </c>
    </row>
    <row r="63" spans="9:16" ht="14.25">
      <c r="I63" s="1598" t="s">
        <v>1228</v>
      </c>
      <c r="J63" s="1599"/>
      <c r="K63" s="1599"/>
      <c r="L63" s="1599"/>
      <c r="M63" s="1599"/>
      <c r="N63" s="1599"/>
      <c r="O63" s="1599"/>
      <c r="P63" s="1599"/>
    </row>
  </sheetData>
  <sheetProtection/>
  <mergeCells count="49">
    <mergeCell ref="B5:C5"/>
    <mergeCell ref="E13:K13"/>
    <mergeCell ref="Q13:Q17"/>
    <mergeCell ref="J14:K14"/>
    <mergeCell ref="J15:K15"/>
    <mergeCell ref="N14:O14"/>
    <mergeCell ref="N15:O15"/>
    <mergeCell ref="N13:O13"/>
    <mergeCell ref="C8:C10"/>
    <mergeCell ref="E16:L16"/>
    <mergeCell ref="B1:Q1"/>
    <mergeCell ref="B3:C3"/>
    <mergeCell ref="E3:G3"/>
    <mergeCell ref="H3:I3"/>
    <mergeCell ref="Q3:Q4"/>
    <mergeCell ref="B4:C4"/>
    <mergeCell ref="J3:O3"/>
    <mergeCell ref="Q36:Q37"/>
    <mergeCell ref="C27:E27"/>
    <mergeCell ref="C24:E24"/>
    <mergeCell ref="N22:O26"/>
    <mergeCell ref="N27:O27"/>
    <mergeCell ref="N28:O28"/>
    <mergeCell ref="N29:O29"/>
    <mergeCell ref="L24:L29"/>
    <mergeCell ref="C25:E25"/>
    <mergeCell ref="H24:H29"/>
    <mergeCell ref="I38:P38"/>
    <mergeCell ref="B58:D58"/>
    <mergeCell ref="B54:D54"/>
    <mergeCell ref="B48:D48"/>
    <mergeCell ref="B49:D49"/>
    <mergeCell ref="B50:D50"/>
    <mergeCell ref="I63:P63"/>
    <mergeCell ref="J24:J29"/>
    <mergeCell ref="C26:E26"/>
    <mergeCell ref="B42:D42"/>
    <mergeCell ref="B43:D43"/>
    <mergeCell ref="B44:D44"/>
    <mergeCell ref="B45:D45"/>
    <mergeCell ref="B46:D46"/>
    <mergeCell ref="B59:D59"/>
    <mergeCell ref="B51:D51"/>
    <mergeCell ref="B55:D55"/>
    <mergeCell ref="B56:D56"/>
    <mergeCell ref="B57:D57"/>
    <mergeCell ref="B47:D47"/>
    <mergeCell ref="B41:D41"/>
    <mergeCell ref="B36:D36"/>
  </mergeCells>
  <printOptions/>
  <pageMargins left="0.7" right="0.7" top="0.75" bottom="0.75" header="0.3" footer="0.3"/>
  <pageSetup fitToHeight="1" fitToWidth="1" orientation="landscape" paperSize="9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86"/>
  <sheetViews>
    <sheetView view="pageBreakPreview" zoomScaleSheetLayoutView="100" zoomScalePageLayoutView="0" workbookViewId="0" topLeftCell="A35">
      <selection activeCell="EE44" sqref="EE44"/>
    </sheetView>
  </sheetViews>
  <sheetFormatPr defaultColWidth="9.140625" defaultRowHeight="15"/>
  <cols>
    <col min="1" max="1" width="15.00390625" style="288" bestFit="1" customWidth="1"/>
    <col min="2" max="108" width="1.7109375" style="288" customWidth="1"/>
    <col min="109" max="109" width="2.28125" style="288" customWidth="1"/>
    <col min="110" max="110" width="1.7109375" style="288" customWidth="1"/>
    <col min="111" max="121" width="2.28125" style="288" customWidth="1"/>
    <col min="122" max="135" width="2.7109375" style="288" customWidth="1"/>
    <col min="136" max="16384" width="9.140625" style="288" customWidth="1"/>
  </cols>
  <sheetData>
    <row r="1" spans="1:109" ht="8.25" customHeight="1">
      <c r="A1" s="1873" t="s">
        <v>1078</v>
      </c>
      <c r="B1" s="1874"/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  <c r="N1" s="1874"/>
      <c r="O1" s="1874"/>
      <c r="P1" s="1874"/>
      <c r="Q1" s="1874"/>
      <c r="R1" s="1874"/>
      <c r="S1" s="1874"/>
      <c r="T1" s="1874"/>
      <c r="U1" s="1874"/>
      <c r="V1" s="1874"/>
      <c r="W1" s="1874"/>
      <c r="X1" s="1874"/>
      <c r="Y1" s="1874"/>
      <c r="Z1" s="1874"/>
      <c r="AA1" s="1874"/>
      <c r="AB1" s="1874"/>
      <c r="AC1" s="1874"/>
      <c r="AD1" s="1874"/>
      <c r="AE1" s="1874"/>
      <c r="AF1" s="1874"/>
      <c r="AG1" s="1874"/>
      <c r="AH1" s="1874"/>
      <c r="AI1" s="1874"/>
      <c r="AJ1" s="1874"/>
      <c r="AK1" s="1874"/>
      <c r="AL1" s="1874"/>
      <c r="AM1" s="1874"/>
      <c r="AN1" s="1874"/>
      <c r="AO1" s="1874"/>
      <c r="AP1" s="1874"/>
      <c r="AQ1" s="1874"/>
      <c r="AR1" s="1874"/>
      <c r="AS1" s="1874"/>
      <c r="AT1" s="1874"/>
      <c r="AU1" s="1874"/>
      <c r="AV1" s="1874"/>
      <c r="AW1" s="1874"/>
      <c r="AX1" s="1874"/>
      <c r="AY1" s="1874"/>
      <c r="AZ1" s="1874"/>
      <c r="BA1" s="1874"/>
      <c r="BB1" s="1874"/>
      <c r="BC1" s="1874"/>
      <c r="BD1" s="1874"/>
      <c r="BE1" s="1874"/>
      <c r="BF1" s="1874"/>
      <c r="BG1" s="1874"/>
      <c r="BH1" s="1874"/>
      <c r="BI1" s="1874"/>
      <c r="BJ1" s="1874"/>
      <c r="BK1" s="1874"/>
      <c r="BL1" s="1874"/>
      <c r="BM1" s="1874"/>
      <c r="BN1" s="1874"/>
      <c r="BO1" s="1874"/>
      <c r="BP1" s="1874"/>
      <c r="BQ1" s="1874"/>
      <c r="BR1" s="1874"/>
      <c r="BS1" s="1874"/>
      <c r="BT1" s="1874"/>
      <c r="BU1" s="1874"/>
      <c r="BV1" s="1874"/>
      <c r="BW1" s="1874"/>
      <c r="BX1" s="1874"/>
      <c r="BY1" s="1874"/>
      <c r="BZ1" s="1874"/>
      <c r="CA1" s="1874"/>
      <c r="CB1" s="1874"/>
      <c r="CC1" s="1874"/>
      <c r="CD1" s="1874"/>
      <c r="CE1" s="1874"/>
      <c r="CF1" s="1874"/>
      <c r="CG1" s="1874"/>
      <c r="CH1" s="1874"/>
      <c r="CI1" s="1874"/>
      <c r="CJ1" s="1874"/>
      <c r="CK1" s="1874"/>
      <c r="CL1" s="1874"/>
      <c r="CM1" s="1874"/>
      <c r="CN1" s="1874"/>
      <c r="CO1" s="1874"/>
      <c r="CP1" s="1874"/>
      <c r="CQ1" s="1874"/>
      <c r="CR1" s="1874"/>
      <c r="CS1" s="1874"/>
      <c r="CT1" s="1874"/>
      <c r="CU1" s="1874"/>
      <c r="CV1" s="1874"/>
      <c r="CW1" s="1874"/>
      <c r="CX1" s="1874"/>
      <c r="CY1" s="1874"/>
      <c r="CZ1" s="1874"/>
      <c r="DA1" s="1874"/>
      <c r="DB1" s="1874"/>
      <c r="DC1" s="1874"/>
      <c r="DD1" s="1874"/>
      <c r="DE1" s="1874"/>
    </row>
    <row r="2" spans="1:133" ht="12.75" customHeight="1">
      <c r="A2" s="289"/>
      <c r="B2" s="1871">
        <v>2012</v>
      </c>
      <c r="C2" s="1871"/>
      <c r="D2" s="1871"/>
      <c r="E2" s="1871"/>
      <c r="F2" s="1871"/>
      <c r="G2" s="1871"/>
      <c r="H2" s="1871"/>
      <c r="I2" s="1871"/>
      <c r="J2" s="1871"/>
      <c r="K2" s="1871"/>
      <c r="L2" s="1871"/>
      <c r="M2" s="1871"/>
      <c r="N2" s="1871">
        <v>2013</v>
      </c>
      <c r="O2" s="1871"/>
      <c r="P2" s="1871"/>
      <c r="Q2" s="1871"/>
      <c r="R2" s="1871"/>
      <c r="S2" s="1871"/>
      <c r="T2" s="1871"/>
      <c r="U2" s="1871"/>
      <c r="V2" s="1871"/>
      <c r="W2" s="1871"/>
      <c r="X2" s="1871"/>
      <c r="Y2" s="1871"/>
      <c r="Z2" s="1871">
        <v>2014</v>
      </c>
      <c r="AA2" s="1871"/>
      <c r="AB2" s="1871"/>
      <c r="AC2" s="1871"/>
      <c r="AD2" s="1871"/>
      <c r="AE2" s="1871"/>
      <c r="AF2" s="1871"/>
      <c r="AG2" s="1871"/>
      <c r="AH2" s="1871"/>
      <c r="AI2" s="1871"/>
      <c r="AJ2" s="1871"/>
      <c r="AK2" s="1871"/>
      <c r="AL2" s="1871">
        <v>2015</v>
      </c>
      <c r="AM2" s="1871"/>
      <c r="AN2" s="1871"/>
      <c r="AO2" s="1871"/>
      <c r="AP2" s="1871"/>
      <c r="AQ2" s="1871"/>
      <c r="AR2" s="1871"/>
      <c r="AS2" s="1871"/>
      <c r="AT2" s="1871"/>
      <c r="AU2" s="1871"/>
      <c r="AV2" s="1871"/>
      <c r="AW2" s="1871"/>
      <c r="AX2" s="1871">
        <v>2016</v>
      </c>
      <c r="AY2" s="1871"/>
      <c r="AZ2" s="1871"/>
      <c r="BA2" s="1871"/>
      <c r="BB2" s="1871"/>
      <c r="BC2" s="1871"/>
      <c r="BD2" s="1871"/>
      <c r="BE2" s="1871"/>
      <c r="BF2" s="1871"/>
      <c r="BG2" s="1871"/>
      <c r="BH2" s="1871"/>
      <c r="BI2" s="1871"/>
      <c r="BJ2" s="1871">
        <v>2017</v>
      </c>
      <c r="BK2" s="1871"/>
      <c r="BL2" s="1871"/>
      <c r="BM2" s="1871"/>
      <c r="BN2" s="1871"/>
      <c r="BO2" s="1871"/>
      <c r="BP2" s="1871"/>
      <c r="BQ2" s="1871"/>
      <c r="BR2" s="1871"/>
      <c r="BS2" s="1871"/>
      <c r="BT2" s="1871"/>
      <c r="BU2" s="1871"/>
      <c r="BV2" s="1871">
        <v>2018</v>
      </c>
      <c r="BW2" s="1871"/>
      <c r="BX2" s="1871"/>
      <c r="BY2" s="1871"/>
      <c r="BZ2" s="1871"/>
      <c r="CA2" s="1871"/>
      <c r="CB2" s="1871"/>
      <c r="CC2" s="1871"/>
      <c r="CD2" s="1871"/>
      <c r="CE2" s="1871"/>
      <c r="CF2" s="1871"/>
      <c r="CG2" s="1871"/>
      <c r="CH2" s="1871">
        <v>2019</v>
      </c>
      <c r="CI2" s="1871"/>
      <c r="CJ2" s="1871"/>
      <c r="CK2" s="1871"/>
      <c r="CL2" s="1871"/>
      <c r="CM2" s="1871"/>
      <c r="CN2" s="1871"/>
      <c r="CO2" s="1871"/>
      <c r="CP2" s="1871"/>
      <c r="CQ2" s="1871"/>
      <c r="CR2" s="1871"/>
      <c r="CS2" s="1871"/>
      <c r="CT2" s="1871">
        <v>2020</v>
      </c>
      <c r="CU2" s="1871"/>
      <c r="CV2" s="1871"/>
      <c r="CW2" s="1871"/>
      <c r="CX2" s="1871"/>
      <c r="CY2" s="1871"/>
      <c r="CZ2" s="1871"/>
      <c r="DA2" s="1871"/>
      <c r="DB2" s="1871"/>
      <c r="DC2" s="1871"/>
      <c r="DD2" s="1871"/>
      <c r="DE2" s="1871"/>
      <c r="DF2" s="1871">
        <v>2021</v>
      </c>
      <c r="DG2" s="1871"/>
      <c r="DH2" s="1871"/>
      <c r="DI2" s="1871"/>
      <c r="DJ2" s="1871"/>
      <c r="DK2" s="1871"/>
      <c r="DL2" s="1871"/>
      <c r="DM2" s="1871"/>
      <c r="DN2" s="1871"/>
      <c r="DO2" s="1871"/>
      <c r="DP2" s="1871"/>
      <c r="DQ2" s="1871"/>
      <c r="DR2" s="1871">
        <v>2022</v>
      </c>
      <c r="DS2" s="1871"/>
      <c r="DT2" s="1871"/>
      <c r="DU2" s="1871"/>
      <c r="DV2" s="1871"/>
      <c r="DW2" s="1871"/>
      <c r="DX2" s="1871"/>
      <c r="DY2" s="1871"/>
      <c r="DZ2" s="1871"/>
      <c r="EA2" s="1871"/>
      <c r="EB2" s="1871"/>
      <c r="EC2" s="1871"/>
    </row>
    <row r="3" spans="1:133" ht="12">
      <c r="A3" s="289"/>
      <c r="B3" s="274">
        <v>1</v>
      </c>
      <c r="C3" s="274">
        <v>2</v>
      </c>
      <c r="D3" s="274">
        <v>3</v>
      </c>
      <c r="E3" s="274">
        <v>4</v>
      </c>
      <c r="F3" s="274">
        <v>5</v>
      </c>
      <c r="G3" s="274">
        <v>6</v>
      </c>
      <c r="H3" s="274">
        <v>7</v>
      </c>
      <c r="I3" s="274">
        <v>8</v>
      </c>
      <c r="J3" s="274">
        <v>9</v>
      </c>
      <c r="K3" s="274">
        <v>10</v>
      </c>
      <c r="L3" s="274">
        <v>11</v>
      </c>
      <c r="M3" s="274">
        <v>12</v>
      </c>
      <c r="N3" s="274">
        <v>1</v>
      </c>
      <c r="O3" s="274">
        <v>2</v>
      </c>
      <c r="P3" s="274">
        <v>3</v>
      </c>
      <c r="Q3" s="274">
        <v>4</v>
      </c>
      <c r="R3" s="274">
        <v>5</v>
      </c>
      <c r="S3" s="274">
        <v>6</v>
      </c>
      <c r="T3" s="274">
        <v>7</v>
      </c>
      <c r="U3" s="274">
        <v>8</v>
      </c>
      <c r="V3" s="274">
        <v>9</v>
      </c>
      <c r="W3" s="274">
        <v>10</v>
      </c>
      <c r="X3" s="274">
        <v>11</v>
      </c>
      <c r="Y3" s="274">
        <v>12</v>
      </c>
      <c r="Z3" s="274">
        <v>1</v>
      </c>
      <c r="AA3" s="274">
        <v>2</v>
      </c>
      <c r="AB3" s="274">
        <v>3</v>
      </c>
      <c r="AC3" s="274">
        <v>4</v>
      </c>
      <c r="AD3" s="274">
        <v>5</v>
      </c>
      <c r="AE3" s="274">
        <v>6</v>
      </c>
      <c r="AF3" s="274">
        <v>7</v>
      </c>
      <c r="AG3" s="274">
        <v>8</v>
      </c>
      <c r="AH3" s="274">
        <v>9</v>
      </c>
      <c r="AI3" s="274">
        <v>10</v>
      </c>
      <c r="AJ3" s="274">
        <v>11</v>
      </c>
      <c r="AK3" s="274">
        <v>12</v>
      </c>
      <c r="AL3" s="274">
        <v>1</v>
      </c>
      <c r="AM3" s="274">
        <v>2</v>
      </c>
      <c r="AN3" s="274">
        <v>3</v>
      </c>
      <c r="AO3" s="274">
        <v>4</v>
      </c>
      <c r="AP3" s="274">
        <v>5</v>
      </c>
      <c r="AQ3" s="274">
        <v>6</v>
      </c>
      <c r="AR3" s="274">
        <v>7</v>
      </c>
      <c r="AS3" s="274">
        <v>8</v>
      </c>
      <c r="AT3" s="274">
        <v>9</v>
      </c>
      <c r="AU3" s="274">
        <v>10</v>
      </c>
      <c r="AV3" s="274">
        <v>11</v>
      </c>
      <c r="AW3" s="274">
        <v>12</v>
      </c>
      <c r="AX3" s="274">
        <v>1</v>
      </c>
      <c r="AY3" s="274">
        <v>2</v>
      </c>
      <c r="AZ3" s="274">
        <v>3</v>
      </c>
      <c r="BA3" s="274">
        <v>4</v>
      </c>
      <c r="BB3" s="274">
        <v>5</v>
      </c>
      <c r="BC3" s="274">
        <v>6</v>
      </c>
      <c r="BD3" s="274">
        <v>7</v>
      </c>
      <c r="BE3" s="274">
        <v>8</v>
      </c>
      <c r="BF3" s="274">
        <v>9</v>
      </c>
      <c r="BG3" s="274">
        <v>10</v>
      </c>
      <c r="BH3" s="274">
        <v>11</v>
      </c>
      <c r="BI3" s="274">
        <v>12</v>
      </c>
      <c r="BJ3" s="274">
        <v>1</v>
      </c>
      <c r="BK3" s="274">
        <v>2</v>
      </c>
      <c r="BL3" s="274">
        <v>3</v>
      </c>
      <c r="BM3" s="274">
        <v>4</v>
      </c>
      <c r="BN3" s="274">
        <v>5</v>
      </c>
      <c r="BO3" s="274">
        <v>6</v>
      </c>
      <c r="BP3" s="274">
        <v>7</v>
      </c>
      <c r="BQ3" s="274">
        <v>8</v>
      </c>
      <c r="BR3" s="274">
        <v>9</v>
      </c>
      <c r="BS3" s="274">
        <v>10</v>
      </c>
      <c r="BT3" s="274">
        <v>11</v>
      </c>
      <c r="BU3" s="274">
        <v>12</v>
      </c>
      <c r="BV3" s="274">
        <v>1</v>
      </c>
      <c r="BW3" s="274">
        <v>2</v>
      </c>
      <c r="BX3" s="274">
        <v>3</v>
      </c>
      <c r="BY3" s="274">
        <v>4</v>
      </c>
      <c r="BZ3" s="274">
        <v>5</v>
      </c>
      <c r="CA3" s="274">
        <v>6</v>
      </c>
      <c r="CB3" s="274">
        <v>7</v>
      </c>
      <c r="CC3" s="274">
        <v>8</v>
      </c>
      <c r="CD3" s="274">
        <v>9</v>
      </c>
      <c r="CE3" s="274">
        <v>10</v>
      </c>
      <c r="CF3" s="274">
        <v>11</v>
      </c>
      <c r="CG3" s="274">
        <v>12</v>
      </c>
      <c r="CH3" s="274">
        <v>1</v>
      </c>
      <c r="CI3" s="274">
        <v>2</v>
      </c>
      <c r="CJ3" s="274">
        <v>3</v>
      </c>
      <c r="CK3" s="274">
        <v>4</v>
      </c>
      <c r="CL3" s="274">
        <v>5</v>
      </c>
      <c r="CM3" s="274">
        <v>6</v>
      </c>
      <c r="CN3" s="274">
        <v>7</v>
      </c>
      <c r="CO3" s="274">
        <v>8</v>
      </c>
      <c r="CP3" s="274">
        <v>9</v>
      </c>
      <c r="CQ3" s="274">
        <v>10</v>
      </c>
      <c r="CR3" s="274">
        <v>11</v>
      </c>
      <c r="CS3" s="274">
        <v>12</v>
      </c>
      <c r="CT3" s="274">
        <v>1</v>
      </c>
      <c r="CU3" s="274">
        <v>2</v>
      </c>
      <c r="CV3" s="274">
        <v>3</v>
      </c>
      <c r="CW3" s="274">
        <v>4</v>
      </c>
      <c r="CX3" s="274">
        <v>5</v>
      </c>
      <c r="CY3" s="274">
        <v>6</v>
      </c>
      <c r="CZ3" s="274">
        <v>7</v>
      </c>
      <c r="DA3" s="274">
        <v>8</v>
      </c>
      <c r="DB3" s="274">
        <v>9</v>
      </c>
      <c r="DC3" s="274">
        <v>10</v>
      </c>
      <c r="DD3" s="274">
        <v>11</v>
      </c>
      <c r="DE3" s="274">
        <v>12</v>
      </c>
      <c r="DF3" s="274">
        <v>1</v>
      </c>
      <c r="DG3" s="274">
        <v>2</v>
      </c>
      <c r="DH3" s="274">
        <v>3</v>
      </c>
      <c r="DI3" s="274">
        <v>4</v>
      </c>
      <c r="DJ3" s="274">
        <v>5</v>
      </c>
      <c r="DK3" s="274">
        <v>6</v>
      </c>
      <c r="DL3" s="274">
        <v>7</v>
      </c>
      <c r="DM3" s="274">
        <v>8</v>
      </c>
      <c r="DN3" s="274">
        <v>9</v>
      </c>
      <c r="DO3" s="274">
        <v>10</v>
      </c>
      <c r="DP3" s="274">
        <v>11</v>
      </c>
      <c r="DQ3" s="274">
        <v>12</v>
      </c>
      <c r="DR3" s="274">
        <v>1</v>
      </c>
      <c r="DS3" s="274">
        <v>2</v>
      </c>
      <c r="DT3" s="274">
        <v>3</v>
      </c>
      <c r="DU3" s="274">
        <v>4</v>
      </c>
      <c r="DV3" s="274">
        <v>5</v>
      </c>
      <c r="DW3" s="274">
        <v>6</v>
      </c>
      <c r="DX3" s="274">
        <v>7</v>
      </c>
      <c r="DY3" s="274">
        <v>8</v>
      </c>
      <c r="DZ3" s="274">
        <v>9</v>
      </c>
      <c r="EA3" s="274">
        <v>10</v>
      </c>
      <c r="EB3" s="274">
        <v>11</v>
      </c>
      <c r="EC3" s="274">
        <v>12</v>
      </c>
    </row>
    <row r="4" spans="1:137" ht="28.5">
      <c r="A4" s="275" t="s">
        <v>597</v>
      </c>
      <c r="B4" s="276">
        <v>18073.86572473699</v>
      </c>
      <c r="C4" s="276">
        <v>15494.33846710895</v>
      </c>
      <c r="D4" s="276">
        <v>13039</v>
      </c>
      <c r="E4" s="276">
        <v>9624.7</v>
      </c>
      <c r="F4" s="276">
        <v>6652.6</v>
      </c>
      <c r="G4" s="276">
        <v>14671</v>
      </c>
      <c r="H4" s="276">
        <v>14303.256014598981</v>
      </c>
      <c r="I4" s="276">
        <v>15327</v>
      </c>
      <c r="J4" s="276">
        <v>10935</v>
      </c>
      <c r="K4" s="276">
        <v>12059.721665297971</v>
      </c>
      <c r="L4" s="276">
        <v>13305.168552565012</v>
      </c>
      <c r="M4" s="276">
        <v>18345</v>
      </c>
      <c r="N4" s="277">
        <v>22871.903082548986</v>
      </c>
      <c r="O4" s="277">
        <v>17006.06622065096</v>
      </c>
      <c r="P4" s="277">
        <v>14493.212774075908</v>
      </c>
      <c r="Q4" s="276">
        <v>13983.147927808925</v>
      </c>
      <c r="R4" s="278">
        <v>11711</v>
      </c>
      <c r="S4" s="278">
        <v>15866</v>
      </c>
      <c r="T4" s="278">
        <v>16412</v>
      </c>
      <c r="U4" s="278">
        <v>16994</v>
      </c>
      <c r="V4" s="278">
        <v>14303</v>
      </c>
      <c r="W4" s="278">
        <v>16327.56461208707</v>
      </c>
      <c r="X4" s="278">
        <v>18046.286051668063</v>
      </c>
      <c r="Y4" s="278">
        <v>23669.769896922924</v>
      </c>
      <c r="Z4" s="279">
        <v>20045</v>
      </c>
      <c r="AA4" s="279">
        <v>19144</v>
      </c>
      <c r="AB4" s="279">
        <v>20529</v>
      </c>
      <c r="AC4" s="278">
        <v>20982</v>
      </c>
      <c r="AD4" s="278">
        <v>15117</v>
      </c>
      <c r="AE4" s="278">
        <v>13603</v>
      </c>
      <c r="AF4" s="278">
        <v>14825</v>
      </c>
      <c r="AG4" s="278">
        <v>15455</v>
      </c>
      <c r="AH4" s="278">
        <v>11831</v>
      </c>
      <c r="AI4" s="278">
        <v>13592</v>
      </c>
      <c r="AJ4" s="278">
        <v>13121</v>
      </c>
      <c r="AK4" s="278">
        <v>14964</v>
      </c>
      <c r="AL4" s="279">
        <v>18577</v>
      </c>
      <c r="AM4" s="279">
        <v>15359</v>
      </c>
      <c r="AN4" s="279">
        <v>14263</v>
      </c>
      <c r="AO4" s="278">
        <v>12218</v>
      </c>
      <c r="AP4" s="278">
        <v>10578</v>
      </c>
      <c r="AQ4" s="278">
        <v>10446</v>
      </c>
      <c r="AR4" s="278">
        <v>12629</v>
      </c>
      <c r="AS4" s="278">
        <v>13830</v>
      </c>
      <c r="AT4" s="278">
        <v>8992</v>
      </c>
      <c r="AU4" s="278">
        <v>12807</v>
      </c>
      <c r="AV4" s="278">
        <v>14283</v>
      </c>
      <c r="AW4" s="278">
        <v>18743</v>
      </c>
      <c r="AX4" s="279">
        <v>16293</v>
      </c>
      <c r="AY4" s="279">
        <v>16164</v>
      </c>
      <c r="AZ4" s="279">
        <v>14222</v>
      </c>
      <c r="BA4" s="278">
        <v>11636</v>
      </c>
      <c r="BB4" s="278">
        <v>11820</v>
      </c>
      <c r="BC4" s="278">
        <v>9945</v>
      </c>
      <c r="BD4" s="278">
        <v>11191</v>
      </c>
      <c r="BE4" s="278">
        <v>12307</v>
      </c>
      <c r="BF4" s="278">
        <v>9240</v>
      </c>
      <c r="BG4" s="278">
        <v>10857</v>
      </c>
      <c r="BH4" s="278">
        <v>15272</v>
      </c>
      <c r="BI4" s="278">
        <v>16682</v>
      </c>
      <c r="BJ4" s="279">
        <v>15077</v>
      </c>
      <c r="BK4" s="279">
        <v>12861</v>
      </c>
      <c r="BL4" s="279">
        <v>12525</v>
      </c>
      <c r="BM4" s="278">
        <v>11289</v>
      </c>
      <c r="BN4" s="278">
        <v>10268</v>
      </c>
      <c r="BO4" s="278">
        <v>10676</v>
      </c>
      <c r="BP4" s="278">
        <v>11794</v>
      </c>
      <c r="BQ4" s="278">
        <v>10326</v>
      </c>
      <c r="BR4" s="278">
        <v>7305</v>
      </c>
      <c r="BS4" s="278">
        <v>9829</v>
      </c>
      <c r="BT4" s="278">
        <v>10842</v>
      </c>
      <c r="BU4" s="278">
        <v>16850</v>
      </c>
      <c r="BV4" s="279">
        <v>12038</v>
      </c>
      <c r="BW4" s="279">
        <v>12044</v>
      </c>
      <c r="BX4" s="279">
        <v>12068</v>
      </c>
      <c r="BY4" s="278">
        <v>11287</v>
      </c>
      <c r="BZ4" s="278">
        <v>9260</v>
      </c>
      <c r="CA4" s="278">
        <v>8326</v>
      </c>
      <c r="CB4" s="278">
        <v>9942</v>
      </c>
      <c r="CC4" s="278">
        <v>11041</v>
      </c>
      <c r="CD4" s="278">
        <v>7756.9992929500295</v>
      </c>
      <c r="CE4" s="278">
        <v>8587.089847319992</v>
      </c>
      <c r="CF4" s="278">
        <v>10855.249003690027</v>
      </c>
      <c r="CG4" s="278">
        <v>12666.216954999953</v>
      </c>
      <c r="CH4" s="290">
        <v>12757.827425069758</v>
      </c>
      <c r="CI4" s="290">
        <v>10231.534643690102</v>
      </c>
      <c r="CJ4" s="290">
        <v>9637.876603920013</v>
      </c>
      <c r="CK4" s="290">
        <v>9851.652539170114</v>
      </c>
      <c r="CL4" s="290">
        <v>10929</v>
      </c>
      <c r="CM4" s="290">
        <v>9010</v>
      </c>
      <c r="CN4" s="290">
        <v>9516</v>
      </c>
      <c r="CO4" s="290">
        <v>10036</v>
      </c>
      <c r="CP4" s="290">
        <v>7278</v>
      </c>
      <c r="CQ4" s="290">
        <v>8687</v>
      </c>
      <c r="CR4" s="290">
        <v>9461</v>
      </c>
      <c r="CS4" s="290">
        <v>10143</v>
      </c>
      <c r="CT4" s="290">
        <v>10341</v>
      </c>
      <c r="CU4" s="290">
        <v>9871</v>
      </c>
      <c r="CV4" s="290">
        <v>8313</v>
      </c>
      <c r="CW4" s="290">
        <v>7626</v>
      </c>
      <c r="CX4" s="291">
        <v>7321</v>
      </c>
      <c r="CY4" s="291">
        <v>8174</v>
      </c>
      <c r="CZ4" s="291">
        <v>9218</v>
      </c>
      <c r="DA4" s="291">
        <v>8259</v>
      </c>
      <c r="DB4" s="542">
        <v>6722.76860984118</v>
      </c>
      <c r="DC4" s="542">
        <v>8753.052763145359</v>
      </c>
      <c r="DD4" s="542">
        <v>8847.370137143414</v>
      </c>
      <c r="DE4" s="542">
        <v>10282.055484363344</v>
      </c>
      <c r="DF4" s="290">
        <v>9713</v>
      </c>
      <c r="DG4" s="290">
        <v>9094</v>
      </c>
      <c r="DH4" s="290">
        <v>9360</v>
      </c>
      <c r="DI4" s="290">
        <v>10648</v>
      </c>
      <c r="DJ4" s="291">
        <v>9398</v>
      </c>
      <c r="DK4" s="291">
        <v>9847</v>
      </c>
      <c r="DL4" s="291">
        <v>8130</v>
      </c>
      <c r="DM4" s="291">
        <v>8658</v>
      </c>
      <c r="DN4" s="291">
        <v>7091</v>
      </c>
      <c r="DO4" s="291">
        <v>7222</v>
      </c>
      <c r="DP4" s="291">
        <v>9534</v>
      </c>
      <c r="DQ4" s="291">
        <v>8644</v>
      </c>
      <c r="DR4" s="290">
        <v>11779</v>
      </c>
      <c r="DS4" s="290">
        <v>7792</v>
      </c>
      <c r="DT4" s="290">
        <v>8153</v>
      </c>
      <c r="DU4" s="290">
        <v>9488</v>
      </c>
      <c r="DV4" s="290">
        <v>7512</v>
      </c>
      <c r="DW4" s="290">
        <v>7563</v>
      </c>
      <c r="DX4" s="1386">
        <v>7711.107568893931</v>
      </c>
      <c r="DY4" s="1386">
        <v>11617.777231759042</v>
      </c>
      <c r="DZ4" s="1381">
        <v>4771</v>
      </c>
      <c r="EA4" s="1381">
        <v>4748</v>
      </c>
      <c r="EB4" s="1387">
        <v>6515.950466051814</v>
      </c>
      <c r="EC4" s="1387">
        <v>5691.204263690044</v>
      </c>
      <c r="ED4" s="660">
        <v>76375</v>
      </c>
      <c r="EG4" s="495"/>
    </row>
    <row r="5" spans="1:137" ht="35.25">
      <c r="A5" s="280" t="s">
        <v>598</v>
      </c>
      <c r="B5" s="276">
        <v>93441.08091342304</v>
      </c>
      <c r="C5" s="276">
        <v>87873.82711989162</v>
      </c>
      <c r="D5" s="276">
        <v>77702</v>
      </c>
      <c r="E5" s="276">
        <v>72144</v>
      </c>
      <c r="F5" s="276">
        <v>66899</v>
      </c>
      <c r="G5" s="276">
        <v>59766</v>
      </c>
      <c r="H5" s="276">
        <v>67304.15516362006</v>
      </c>
      <c r="I5" s="276">
        <v>66839</v>
      </c>
      <c r="J5" s="276">
        <v>60433</v>
      </c>
      <c r="K5" s="277">
        <v>61615.53890782733</v>
      </c>
      <c r="L5" s="276">
        <v>70034.76348342487</v>
      </c>
      <c r="M5" s="276">
        <v>95564</v>
      </c>
      <c r="N5" s="281">
        <v>90192.73598919845</v>
      </c>
      <c r="O5" s="281">
        <v>84133.58015568797</v>
      </c>
      <c r="P5" s="281">
        <v>87890.67132039965</v>
      </c>
      <c r="Q5" s="281">
        <v>68948.10786250804</v>
      </c>
      <c r="R5" s="282">
        <v>64737</v>
      </c>
      <c r="S5" s="282">
        <v>61865</v>
      </c>
      <c r="T5" s="282">
        <v>66686</v>
      </c>
      <c r="U5" s="282">
        <v>69006</v>
      </c>
      <c r="V5" s="282">
        <v>60636</v>
      </c>
      <c r="W5" s="282">
        <v>64620.84875999017</v>
      </c>
      <c r="X5" s="282">
        <v>71604.57108434547</v>
      </c>
      <c r="Y5" s="282">
        <v>94039.45703219135</v>
      </c>
      <c r="Z5" s="282">
        <v>91442</v>
      </c>
      <c r="AA5" s="282">
        <v>76871</v>
      </c>
      <c r="AB5" s="282">
        <v>77639</v>
      </c>
      <c r="AC5" s="282">
        <v>67013</v>
      </c>
      <c r="AD5" s="282">
        <v>67117</v>
      </c>
      <c r="AE5" s="282">
        <v>62562</v>
      </c>
      <c r="AF5" s="282">
        <v>65819</v>
      </c>
      <c r="AG5" s="282">
        <v>69072</v>
      </c>
      <c r="AH5" s="282">
        <v>63018</v>
      </c>
      <c r="AI5" s="282">
        <v>68074</v>
      </c>
      <c r="AJ5" s="282">
        <v>91791</v>
      </c>
      <c r="AK5" s="282">
        <v>107998</v>
      </c>
      <c r="AL5" s="282">
        <v>125766</v>
      </c>
      <c r="AM5" s="282">
        <v>109193</v>
      </c>
      <c r="AN5" s="282">
        <v>110877</v>
      </c>
      <c r="AO5" s="282">
        <v>95987</v>
      </c>
      <c r="AP5" s="282">
        <v>88815</v>
      </c>
      <c r="AQ5" s="282">
        <v>87544</v>
      </c>
      <c r="AR5" s="282">
        <v>100179</v>
      </c>
      <c r="AS5" s="282">
        <v>97516</v>
      </c>
      <c r="AT5" s="282">
        <v>87584</v>
      </c>
      <c r="AU5" s="282">
        <v>87547</v>
      </c>
      <c r="AV5" s="282">
        <v>94973</v>
      </c>
      <c r="AW5" s="282">
        <v>117812</v>
      </c>
      <c r="AX5" s="282">
        <v>125071</v>
      </c>
      <c r="AY5" s="282">
        <v>101612</v>
      </c>
      <c r="AZ5" s="282">
        <v>106426</v>
      </c>
      <c r="BA5" s="282">
        <v>87210</v>
      </c>
      <c r="BB5" s="282">
        <v>88640</v>
      </c>
      <c r="BC5" s="282">
        <v>87523</v>
      </c>
      <c r="BD5" s="282">
        <v>96096</v>
      </c>
      <c r="BE5" s="282">
        <v>95846</v>
      </c>
      <c r="BF5" s="282">
        <v>85682</v>
      </c>
      <c r="BG5" s="282">
        <v>90184</v>
      </c>
      <c r="BH5" s="282">
        <v>98349</v>
      </c>
      <c r="BI5" s="282">
        <v>128233</v>
      </c>
      <c r="BJ5" s="282">
        <v>122373</v>
      </c>
      <c r="BK5" s="282">
        <v>95095</v>
      </c>
      <c r="BL5" s="282">
        <v>92156</v>
      </c>
      <c r="BM5" s="282">
        <v>83507</v>
      </c>
      <c r="BN5" s="282">
        <v>80943</v>
      </c>
      <c r="BO5" s="282">
        <v>82518</v>
      </c>
      <c r="BP5" s="282">
        <v>89929</v>
      </c>
      <c r="BQ5" s="282">
        <v>93735</v>
      </c>
      <c r="BR5" s="282">
        <v>79080</v>
      </c>
      <c r="BS5" s="282">
        <v>82836</v>
      </c>
      <c r="BT5" s="282">
        <v>94039</v>
      </c>
      <c r="BU5" s="282">
        <v>111685</v>
      </c>
      <c r="BV5" s="282">
        <v>111242</v>
      </c>
      <c r="BW5" s="282">
        <v>98092</v>
      </c>
      <c r="BX5" s="282">
        <v>97806</v>
      </c>
      <c r="BY5" s="282">
        <v>68436</v>
      </c>
      <c r="BZ5" s="282">
        <v>69296</v>
      </c>
      <c r="CA5" s="282">
        <v>67557</v>
      </c>
      <c r="CB5" s="282">
        <v>71478</v>
      </c>
      <c r="CC5" s="282">
        <v>73815</v>
      </c>
      <c r="CD5" s="282">
        <v>60429.12104515592</v>
      </c>
      <c r="CE5" s="282">
        <v>58878.54680297582</v>
      </c>
      <c r="CF5" s="282">
        <v>63325.19353945705</v>
      </c>
      <c r="CG5" s="282">
        <v>104232.29578367631</v>
      </c>
      <c r="CH5" s="290">
        <v>130054.03179830957</v>
      </c>
      <c r="CI5" s="290">
        <v>78533.26960999762</v>
      </c>
      <c r="CJ5" s="290">
        <v>82659.05960747384</v>
      </c>
      <c r="CK5" s="290">
        <v>58954.49086977626</v>
      </c>
      <c r="CL5" s="290">
        <v>60398</v>
      </c>
      <c r="CM5" s="290">
        <v>54350</v>
      </c>
      <c r="CN5" s="290">
        <v>59372</v>
      </c>
      <c r="CO5" s="290">
        <v>60501</v>
      </c>
      <c r="CP5" s="290">
        <v>44785</v>
      </c>
      <c r="CQ5" s="290">
        <v>52673</v>
      </c>
      <c r="CR5" s="290">
        <v>59484</v>
      </c>
      <c r="CS5" s="290">
        <v>94796</v>
      </c>
      <c r="CT5" s="290">
        <v>123691</v>
      </c>
      <c r="CU5" s="290">
        <v>79330</v>
      </c>
      <c r="CV5" s="290">
        <v>94944</v>
      </c>
      <c r="CW5" s="290">
        <v>52054</v>
      </c>
      <c r="CX5" s="291">
        <v>53333</v>
      </c>
      <c r="CY5" s="291">
        <v>48807</v>
      </c>
      <c r="CZ5" s="291">
        <v>60791</v>
      </c>
      <c r="DA5" s="291">
        <v>59547</v>
      </c>
      <c r="DB5" s="542">
        <v>45178.035704984</v>
      </c>
      <c r="DC5" s="542">
        <v>68173.48673884278</v>
      </c>
      <c r="DD5" s="542">
        <v>70608.74558462664</v>
      </c>
      <c r="DE5" s="542">
        <v>76480.7655217915</v>
      </c>
      <c r="DF5" s="290">
        <v>133183</v>
      </c>
      <c r="DG5" s="290">
        <v>83159</v>
      </c>
      <c r="DH5" s="290">
        <v>108467</v>
      </c>
      <c r="DI5" s="290">
        <v>82462</v>
      </c>
      <c r="DJ5" s="291">
        <v>56007</v>
      </c>
      <c r="DK5" s="291">
        <v>54131</v>
      </c>
      <c r="DL5" s="291">
        <v>64751</v>
      </c>
      <c r="DM5" s="291">
        <v>66257</v>
      </c>
      <c r="DN5" s="291">
        <v>45205</v>
      </c>
      <c r="DO5" s="291">
        <v>57510</v>
      </c>
      <c r="DP5" s="291">
        <v>63547</v>
      </c>
      <c r="DQ5" s="291">
        <v>106650</v>
      </c>
      <c r="DR5" s="290">
        <v>137678</v>
      </c>
      <c r="DS5" s="290">
        <v>82990</v>
      </c>
      <c r="DT5" s="290">
        <v>103492</v>
      </c>
      <c r="DU5" s="290">
        <v>70765</v>
      </c>
      <c r="DV5" s="290">
        <v>57224</v>
      </c>
      <c r="DW5" s="290">
        <v>56080</v>
      </c>
      <c r="DX5" s="1386">
        <v>68449.7249917217</v>
      </c>
      <c r="DY5" s="1386">
        <v>63789.53723403386</v>
      </c>
      <c r="DZ5" s="1381">
        <v>45631</v>
      </c>
      <c r="EA5" s="1381">
        <v>49636</v>
      </c>
      <c r="EB5" s="1387">
        <v>60729.8352756558</v>
      </c>
      <c r="EC5" s="1387">
        <v>90217.2112931957</v>
      </c>
      <c r="ED5" s="660">
        <f>SUM(DR5:EC5)</f>
        <v>886682.3087946071</v>
      </c>
      <c r="EG5" s="495"/>
    </row>
    <row r="6" spans="1:137" ht="33">
      <c r="A6" s="283" t="s">
        <v>599</v>
      </c>
      <c r="B6" s="284">
        <f>B4+B5</f>
        <v>111514.94663816002</v>
      </c>
      <c r="C6" s="284">
        <f aca="true" t="shared" si="0" ref="C6:S6">C4+C5</f>
        <v>103368.16558700056</v>
      </c>
      <c r="D6" s="284">
        <f t="shared" si="0"/>
        <v>90741</v>
      </c>
      <c r="E6" s="284">
        <f t="shared" si="0"/>
        <v>81768.7</v>
      </c>
      <c r="F6" s="284">
        <f t="shared" si="0"/>
        <v>73551.6</v>
      </c>
      <c r="G6" s="284">
        <f t="shared" si="0"/>
        <v>74437</v>
      </c>
      <c r="H6" s="284">
        <f t="shared" si="0"/>
        <v>81607.41117821904</v>
      </c>
      <c r="I6" s="284">
        <f t="shared" si="0"/>
        <v>82166</v>
      </c>
      <c r="J6" s="284">
        <f t="shared" si="0"/>
        <v>71368</v>
      </c>
      <c r="K6" s="284">
        <f t="shared" si="0"/>
        <v>73675.2605731253</v>
      </c>
      <c r="L6" s="284">
        <f t="shared" si="0"/>
        <v>83339.93203598988</v>
      </c>
      <c r="M6" s="284">
        <f t="shared" si="0"/>
        <v>113909</v>
      </c>
      <c r="N6" s="284">
        <f t="shared" si="0"/>
        <v>113064.63907174744</v>
      </c>
      <c r="O6" s="284">
        <f t="shared" si="0"/>
        <v>101139.64637633893</v>
      </c>
      <c r="P6" s="284">
        <f t="shared" si="0"/>
        <v>102383.88409447555</v>
      </c>
      <c r="Q6" s="284">
        <f t="shared" si="0"/>
        <v>82931.25579031697</v>
      </c>
      <c r="R6" s="285">
        <f t="shared" si="0"/>
        <v>76448</v>
      </c>
      <c r="S6" s="285">
        <f t="shared" si="0"/>
        <v>77731</v>
      </c>
      <c r="T6" s="285">
        <v>83098</v>
      </c>
      <c r="U6" s="285">
        <v>86000</v>
      </c>
      <c r="V6" s="285">
        <v>74939</v>
      </c>
      <c r="W6" s="285">
        <f aca="true" t="shared" si="1" ref="W6:AB6">W4+W5</f>
        <v>80948.41337207724</v>
      </c>
      <c r="X6" s="285">
        <f t="shared" si="1"/>
        <v>89650.85713601354</v>
      </c>
      <c r="Y6" s="285">
        <f>Y4+Y5</f>
        <v>117709.22692911427</v>
      </c>
      <c r="Z6" s="285">
        <f t="shared" si="1"/>
        <v>111487</v>
      </c>
      <c r="AA6" s="285">
        <f t="shared" si="1"/>
        <v>96015</v>
      </c>
      <c r="AB6" s="285">
        <f t="shared" si="1"/>
        <v>98168</v>
      </c>
      <c r="AC6" s="285">
        <v>87995</v>
      </c>
      <c r="AD6" s="285">
        <v>82234</v>
      </c>
      <c r="AE6" s="285">
        <f aca="true" t="shared" si="2" ref="AE6:CP6">AE4+AE5</f>
        <v>76165</v>
      </c>
      <c r="AF6" s="285">
        <f t="shared" si="2"/>
        <v>80644</v>
      </c>
      <c r="AG6" s="285">
        <f t="shared" si="2"/>
        <v>84527</v>
      </c>
      <c r="AH6" s="285">
        <f t="shared" si="2"/>
        <v>74849</v>
      </c>
      <c r="AI6" s="285">
        <f t="shared" si="2"/>
        <v>81666</v>
      </c>
      <c r="AJ6" s="285">
        <f t="shared" si="2"/>
        <v>104912</v>
      </c>
      <c r="AK6" s="285">
        <f t="shared" si="2"/>
        <v>122962</v>
      </c>
      <c r="AL6" s="285">
        <f t="shared" si="2"/>
        <v>144343</v>
      </c>
      <c r="AM6" s="285">
        <f t="shared" si="2"/>
        <v>124552</v>
      </c>
      <c r="AN6" s="285">
        <f t="shared" si="2"/>
        <v>125140</v>
      </c>
      <c r="AO6" s="285">
        <f t="shared" si="2"/>
        <v>108205</v>
      </c>
      <c r="AP6" s="285">
        <f t="shared" si="2"/>
        <v>99393</v>
      </c>
      <c r="AQ6" s="285">
        <f t="shared" si="2"/>
        <v>97990</v>
      </c>
      <c r="AR6" s="285">
        <f t="shared" si="2"/>
        <v>112808</v>
      </c>
      <c r="AS6" s="285">
        <f t="shared" si="2"/>
        <v>111346</v>
      </c>
      <c r="AT6" s="285">
        <f t="shared" si="2"/>
        <v>96576</v>
      </c>
      <c r="AU6" s="285">
        <f t="shared" si="2"/>
        <v>100354</v>
      </c>
      <c r="AV6" s="285">
        <f t="shared" si="2"/>
        <v>109256</v>
      </c>
      <c r="AW6" s="285">
        <f t="shared" si="2"/>
        <v>136555</v>
      </c>
      <c r="AX6" s="285">
        <f t="shared" si="2"/>
        <v>141364</v>
      </c>
      <c r="AY6" s="285">
        <f t="shared" si="2"/>
        <v>117776</v>
      </c>
      <c r="AZ6" s="285">
        <f t="shared" si="2"/>
        <v>120648</v>
      </c>
      <c r="BA6" s="285">
        <f t="shared" si="2"/>
        <v>98846</v>
      </c>
      <c r="BB6" s="285">
        <f t="shared" si="2"/>
        <v>100460</v>
      </c>
      <c r="BC6" s="285">
        <f t="shared" si="2"/>
        <v>97468</v>
      </c>
      <c r="BD6" s="285">
        <f t="shared" si="2"/>
        <v>107287</v>
      </c>
      <c r="BE6" s="285">
        <f t="shared" si="2"/>
        <v>108153</v>
      </c>
      <c r="BF6" s="285">
        <f t="shared" si="2"/>
        <v>94922</v>
      </c>
      <c r="BG6" s="285">
        <f t="shared" si="2"/>
        <v>101041</v>
      </c>
      <c r="BH6" s="285">
        <f t="shared" si="2"/>
        <v>113621</v>
      </c>
      <c r="BI6" s="285">
        <f t="shared" si="2"/>
        <v>144915</v>
      </c>
      <c r="BJ6" s="285">
        <f t="shared" si="2"/>
        <v>137450</v>
      </c>
      <c r="BK6" s="285">
        <f t="shared" si="2"/>
        <v>107956</v>
      </c>
      <c r="BL6" s="285">
        <f t="shared" si="2"/>
        <v>104681</v>
      </c>
      <c r="BM6" s="285">
        <f t="shared" si="2"/>
        <v>94796</v>
      </c>
      <c r="BN6" s="285">
        <f t="shared" si="2"/>
        <v>91211</v>
      </c>
      <c r="BO6" s="285">
        <f t="shared" si="2"/>
        <v>93194</v>
      </c>
      <c r="BP6" s="285">
        <f t="shared" si="2"/>
        <v>101723</v>
      </c>
      <c r="BQ6" s="285">
        <f t="shared" si="2"/>
        <v>104061</v>
      </c>
      <c r="BR6" s="285">
        <f t="shared" si="2"/>
        <v>86385</v>
      </c>
      <c r="BS6" s="285">
        <f t="shared" si="2"/>
        <v>92665</v>
      </c>
      <c r="BT6" s="285">
        <f t="shared" si="2"/>
        <v>104881</v>
      </c>
      <c r="BU6" s="285">
        <f t="shared" si="2"/>
        <v>128535</v>
      </c>
      <c r="BV6" s="285">
        <f t="shared" si="2"/>
        <v>123280</v>
      </c>
      <c r="BW6" s="285">
        <f t="shared" si="2"/>
        <v>110136</v>
      </c>
      <c r="BX6" s="285">
        <f t="shared" si="2"/>
        <v>109874</v>
      </c>
      <c r="BY6" s="285">
        <f t="shared" si="2"/>
        <v>79723</v>
      </c>
      <c r="BZ6" s="285">
        <f t="shared" si="2"/>
        <v>78556</v>
      </c>
      <c r="CA6" s="285">
        <f t="shared" si="2"/>
        <v>75883</v>
      </c>
      <c r="CB6" s="285">
        <f t="shared" si="2"/>
        <v>81420</v>
      </c>
      <c r="CC6" s="285">
        <f t="shared" si="2"/>
        <v>84856</v>
      </c>
      <c r="CD6" s="285">
        <f t="shared" si="2"/>
        <v>68186.12033810595</v>
      </c>
      <c r="CE6" s="285">
        <f t="shared" si="2"/>
        <v>67465.63665029581</v>
      </c>
      <c r="CF6" s="285">
        <f t="shared" si="2"/>
        <v>74180.44254314707</v>
      </c>
      <c r="CG6" s="285">
        <f t="shared" si="2"/>
        <v>116898.51273867626</v>
      </c>
      <c r="CH6" s="285">
        <f t="shared" si="2"/>
        <v>142811.85922337935</v>
      </c>
      <c r="CI6" s="285">
        <f t="shared" si="2"/>
        <v>88764.80425368772</v>
      </c>
      <c r="CJ6" s="285">
        <f t="shared" si="2"/>
        <v>92296.93621139386</v>
      </c>
      <c r="CK6" s="285">
        <f t="shared" si="2"/>
        <v>68806.14340894637</v>
      </c>
      <c r="CL6" s="285">
        <f t="shared" si="2"/>
        <v>71327</v>
      </c>
      <c r="CM6" s="285">
        <f t="shared" si="2"/>
        <v>63360</v>
      </c>
      <c r="CN6" s="285">
        <f t="shared" si="2"/>
        <v>68888</v>
      </c>
      <c r="CO6" s="285">
        <f t="shared" si="2"/>
        <v>70537</v>
      </c>
      <c r="CP6" s="285">
        <f t="shared" si="2"/>
        <v>52063</v>
      </c>
      <c r="CQ6" s="285">
        <f aca="true" t="shared" si="3" ref="CQ6:EC6">CQ4+CQ5</f>
        <v>61360</v>
      </c>
      <c r="CR6" s="285">
        <f t="shared" si="3"/>
        <v>68945</v>
      </c>
      <c r="CS6" s="285">
        <f t="shared" si="3"/>
        <v>104939</v>
      </c>
      <c r="CT6" s="285">
        <f t="shared" si="3"/>
        <v>134032</v>
      </c>
      <c r="CU6" s="285">
        <f t="shared" si="3"/>
        <v>89201</v>
      </c>
      <c r="CV6" s="285">
        <f t="shared" si="3"/>
        <v>103257</v>
      </c>
      <c r="CW6" s="285">
        <f t="shared" si="3"/>
        <v>59680</v>
      </c>
      <c r="CX6" s="285">
        <f t="shared" si="3"/>
        <v>60654</v>
      </c>
      <c r="CY6" s="285">
        <f t="shared" si="3"/>
        <v>56981</v>
      </c>
      <c r="CZ6" s="285">
        <f t="shared" si="3"/>
        <v>70009</v>
      </c>
      <c r="DA6" s="285">
        <f t="shared" si="3"/>
        <v>67806</v>
      </c>
      <c r="DB6" s="285">
        <f t="shared" si="3"/>
        <v>51900.80431482518</v>
      </c>
      <c r="DC6" s="285">
        <f t="shared" si="3"/>
        <v>76926.53950198814</v>
      </c>
      <c r="DD6" s="285">
        <f t="shared" si="3"/>
        <v>79456.11572177005</v>
      </c>
      <c r="DE6" s="285">
        <f t="shared" si="3"/>
        <v>86762.82100615485</v>
      </c>
      <c r="DF6" s="285">
        <f t="shared" si="3"/>
        <v>142896</v>
      </c>
      <c r="DG6" s="285">
        <f t="shared" si="3"/>
        <v>92253</v>
      </c>
      <c r="DH6" s="285">
        <f t="shared" si="3"/>
        <v>117827</v>
      </c>
      <c r="DI6" s="285">
        <f t="shared" si="3"/>
        <v>93110</v>
      </c>
      <c r="DJ6" s="285">
        <f t="shared" si="3"/>
        <v>65405</v>
      </c>
      <c r="DK6" s="285">
        <f t="shared" si="3"/>
        <v>63978</v>
      </c>
      <c r="DL6" s="285">
        <f t="shared" si="3"/>
        <v>72881</v>
      </c>
      <c r="DM6" s="285">
        <f t="shared" si="3"/>
        <v>74915</v>
      </c>
      <c r="DN6" s="285">
        <f t="shared" si="3"/>
        <v>52296</v>
      </c>
      <c r="DO6" s="285">
        <f t="shared" si="3"/>
        <v>64732</v>
      </c>
      <c r="DP6" s="285">
        <f t="shared" si="3"/>
        <v>73081</v>
      </c>
      <c r="DQ6" s="285">
        <f t="shared" si="3"/>
        <v>115294</v>
      </c>
      <c r="DR6" s="285">
        <f t="shared" si="3"/>
        <v>149457</v>
      </c>
      <c r="DS6" s="285">
        <f t="shared" si="3"/>
        <v>90782</v>
      </c>
      <c r="DT6" s="285">
        <f t="shared" si="3"/>
        <v>111645</v>
      </c>
      <c r="DU6" s="285">
        <f t="shared" si="3"/>
        <v>80253</v>
      </c>
      <c r="DV6" s="285">
        <f t="shared" si="3"/>
        <v>64736</v>
      </c>
      <c r="DW6" s="285">
        <f t="shared" si="3"/>
        <v>63643</v>
      </c>
      <c r="DX6" s="1382">
        <f t="shared" si="3"/>
        <v>76160.83256061563</v>
      </c>
      <c r="DY6" s="1382">
        <f t="shared" si="3"/>
        <v>75407.31446579291</v>
      </c>
      <c r="DZ6" s="1382">
        <f t="shared" si="3"/>
        <v>50402</v>
      </c>
      <c r="EA6" s="1382">
        <f t="shared" si="3"/>
        <v>54384</v>
      </c>
      <c r="EB6" s="1382">
        <f t="shared" si="3"/>
        <v>67245.78574170762</v>
      </c>
      <c r="EC6" s="1382">
        <f t="shared" si="3"/>
        <v>95908.41555688574</v>
      </c>
      <c r="ED6" s="660">
        <f>SUM(DR6:EC6)</f>
        <v>980024.3483250019</v>
      </c>
      <c r="EG6" s="495"/>
    </row>
    <row r="7" spans="1:137" ht="33">
      <c r="A7" s="280" t="s">
        <v>600</v>
      </c>
      <c r="B7" s="276">
        <v>150538.1555344885</v>
      </c>
      <c r="C7" s="276">
        <v>298929.7740936682</v>
      </c>
      <c r="D7" s="276">
        <v>238955</v>
      </c>
      <c r="E7" s="276">
        <v>162539.6</v>
      </c>
      <c r="F7" s="276">
        <v>114548.5</v>
      </c>
      <c r="G7" s="276">
        <v>120316</v>
      </c>
      <c r="H7" s="276">
        <v>162710.3293162182</v>
      </c>
      <c r="I7" s="276">
        <v>163857</v>
      </c>
      <c r="J7" s="276">
        <v>126268</v>
      </c>
      <c r="K7" s="276">
        <v>98541.51020612563</v>
      </c>
      <c r="L7" s="276">
        <v>146332.13084949923</v>
      </c>
      <c r="M7" s="276">
        <v>255691</v>
      </c>
      <c r="N7" s="281">
        <v>245824.78001080157</v>
      </c>
      <c r="O7" s="281">
        <v>223001.51944431197</v>
      </c>
      <c r="P7" s="281">
        <v>222867.5001876004</v>
      </c>
      <c r="Q7" s="281">
        <v>133430.424051242</v>
      </c>
      <c r="R7" s="282">
        <v>122333</v>
      </c>
      <c r="S7" s="282">
        <v>128510</v>
      </c>
      <c r="T7" s="282">
        <v>153798</v>
      </c>
      <c r="U7" s="282">
        <v>131853</v>
      </c>
      <c r="V7" s="282">
        <v>98037</v>
      </c>
      <c r="W7" s="282">
        <v>163944.8536010838</v>
      </c>
      <c r="X7" s="282">
        <v>193906.52488767053</v>
      </c>
      <c r="Y7" s="282">
        <v>293067.93508511566</v>
      </c>
      <c r="Z7" s="282">
        <v>233256</v>
      </c>
      <c r="AA7" s="282">
        <v>170191</v>
      </c>
      <c r="AB7" s="282">
        <v>178112</v>
      </c>
      <c r="AC7" s="282">
        <v>118651</v>
      </c>
      <c r="AD7" s="282">
        <v>117129</v>
      </c>
      <c r="AE7" s="282">
        <v>94707</v>
      </c>
      <c r="AF7" s="282">
        <v>113486</v>
      </c>
      <c r="AG7" s="282">
        <v>117658</v>
      </c>
      <c r="AH7" s="282">
        <v>81085</v>
      </c>
      <c r="AI7" s="282">
        <v>103813</v>
      </c>
      <c r="AJ7" s="282">
        <v>74755</v>
      </c>
      <c r="AK7" s="282">
        <v>117469</v>
      </c>
      <c r="AL7" s="282">
        <v>107278</v>
      </c>
      <c r="AM7" s="282">
        <v>63833</v>
      </c>
      <c r="AN7" s="282">
        <v>70440</v>
      </c>
      <c r="AO7" s="282">
        <v>48858</v>
      </c>
      <c r="AP7" s="282">
        <v>48192</v>
      </c>
      <c r="AQ7" s="282">
        <v>35193</v>
      </c>
      <c r="AR7" s="282">
        <v>51355</v>
      </c>
      <c r="AS7" s="282">
        <v>43671</v>
      </c>
      <c r="AT7" s="282">
        <v>19572</v>
      </c>
      <c r="AU7" s="282">
        <v>42352</v>
      </c>
      <c r="AV7" s="282">
        <v>50771</v>
      </c>
      <c r="AW7" s="282">
        <v>87385</v>
      </c>
      <c r="AX7" s="282">
        <v>91710</v>
      </c>
      <c r="AY7" s="282">
        <v>44565</v>
      </c>
      <c r="AZ7" s="282">
        <v>50978</v>
      </c>
      <c r="BA7" s="282">
        <v>23653</v>
      </c>
      <c r="BB7" s="282">
        <v>28291</v>
      </c>
      <c r="BC7" s="282">
        <v>15320</v>
      </c>
      <c r="BD7" s="282">
        <v>25137</v>
      </c>
      <c r="BE7" s="282">
        <v>21142</v>
      </c>
      <c r="BF7" s="282">
        <v>4878</v>
      </c>
      <c r="BG7" s="282">
        <v>29173</v>
      </c>
      <c r="BH7" s="282">
        <v>44592</v>
      </c>
      <c r="BI7" s="282">
        <v>68513</v>
      </c>
      <c r="BJ7" s="282">
        <v>102343</v>
      </c>
      <c r="BK7" s="282">
        <v>47392</v>
      </c>
      <c r="BL7" s="282">
        <v>51553</v>
      </c>
      <c r="BM7" s="282">
        <v>32612</v>
      </c>
      <c r="BN7" s="282">
        <v>31738</v>
      </c>
      <c r="BO7" s="282">
        <v>43366</v>
      </c>
      <c r="BP7" s="282">
        <v>29075</v>
      </c>
      <c r="BQ7" s="282">
        <v>22164</v>
      </c>
      <c r="BR7" s="282">
        <v>2653</v>
      </c>
      <c r="BS7" s="282">
        <v>21989</v>
      </c>
      <c r="BT7" s="282">
        <v>23765</v>
      </c>
      <c r="BU7" s="282">
        <v>58266</v>
      </c>
      <c r="BV7" s="282">
        <v>78912</v>
      </c>
      <c r="BW7" s="282">
        <v>37026</v>
      </c>
      <c r="BX7" s="282">
        <v>52770</v>
      </c>
      <c r="BY7" s="282">
        <v>29539</v>
      </c>
      <c r="BZ7" s="282">
        <v>29098</v>
      </c>
      <c r="CA7" s="282">
        <v>21463</v>
      </c>
      <c r="CB7" s="282">
        <v>27768</v>
      </c>
      <c r="CC7" s="282">
        <v>27135</v>
      </c>
      <c r="CD7" s="282">
        <v>21758.573035866022</v>
      </c>
      <c r="CE7" s="282">
        <v>34006.335419038194</v>
      </c>
      <c r="CF7" s="282">
        <v>43524.333548557945</v>
      </c>
      <c r="CG7" s="282">
        <v>64942.77142232373</v>
      </c>
      <c r="CH7" s="292">
        <v>71704.5022196906</v>
      </c>
      <c r="CI7" s="292">
        <v>46996.82545800229</v>
      </c>
      <c r="CJ7" s="292">
        <v>49550.14847452624</v>
      </c>
      <c r="CK7" s="292">
        <v>37455.08726922367</v>
      </c>
      <c r="CL7" s="292">
        <v>38651</v>
      </c>
      <c r="CM7" s="292">
        <v>35617</v>
      </c>
      <c r="CN7" s="292">
        <v>39209</v>
      </c>
      <c r="CO7" s="292">
        <v>40662</v>
      </c>
      <c r="CP7" s="292">
        <v>29982</v>
      </c>
      <c r="CQ7" s="292">
        <v>34357</v>
      </c>
      <c r="CR7" s="292">
        <v>39938</v>
      </c>
      <c r="CS7" s="292">
        <v>64540</v>
      </c>
      <c r="CT7" s="292">
        <v>69999</v>
      </c>
      <c r="CU7" s="293">
        <v>46987</v>
      </c>
      <c r="CV7" s="292">
        <v>77781</v>
      </c>
      <c r="CW7" s="292">
        <v>31730</v>
      </c>
      <c r="CX7" s="273">
        <v>32499</v>
      </c>
      <c r="CY7" s="273">
        <v>30546</v>
      </c>
      <c r="CZ7" s="273">
        <v>34317</v>
      </c>
      <c r="DA7" s="273">
        <v>32904</v>
      </c>
      <c r="DB7" s="455">
        <v>29360.393881624717</v>
      </c>
      <c r="DC7" s="455">
        <v>32999.52850617324</v>
      </c>
      <c r="DD7" s="455">
        <v>49025.1936528299</v>
      </c>
      <c r="DE7" s="455">
        <v>52959.777594875224</v>
      </c>
      <c r="DF7" s="292">
        <v>76128</v>
      </c>
      <c r="DG7" s="293">
        <v>47699</v>
      </c>
      <c r="DH7" s="292">
        <v>65890</v>
      </c>
      <c r="DI7" s="292">
        <v>47015</v>
      </c>
      <c r="DJ7" s="273">
        <v>36169</v>
      </c>
      <c r="DK7" s="273">
        <v>34070</v>
      </c>
      <c r="DL7" s="273">
        <v>38382</v>
      </c>
      <c r="DM7" s="273">
        <v>33482</v>
      </c>
      <c r="DN7" s="273">
        <v>26583</v>
      </c>
      <c r="DO7" s="273">
        <v>34089</v>
      </c>
      <c r="DP7" s="273">
        <v>39156</v>
      </c>
      <c r="DQ7" s="273">
        <v>49585</v>
      </c>
      <c r="DR7" s="292">
        <v>78942</v>
      </c>
      <c r="DS7" s="293">
        <v>44024</v>
      </c>
      <c r="DT7" s="292">
        <v>60173</v>
      </c>
      <c r="DU7" s="292">
        <v>38755</v>
      </c>
      <c r="DV7" s="292">
        <v>30437</v>
      </c>
      <c r="DW7" s="292">
        <v>29037</v>
      </c>
      <c r="DX7" s="1386">
        <v>33145.496728914426</v>
      </c>
      <c r="DY7" s="1386">
        <v>23584.028165844684</v>
      </c>
      <c r="DZ7" s="1383">
        <v>22489</v>
      </c>
      <c r="EA7" s="1383">
        <v>35773</v>
      </c>
      <c r="EB7" s="1387">
        <v>36564.23211616241</v>
      </c>
      <c r="EC7" s="1387">
        <v>44905.36355680428</v>
      </c>
      <c r="ED7" s="660">
        <f>SUM(DR7:EC7)</f>
        <v>477829.12056772585</v>
      </c>
      <c r="EG7" s="495"/>
    </row>
    <row r="8" spans="1:137" ht="39" thickBot="1">
      <c r="A8" s="280" t="s">
        <v>601</v>
      </c>
      <c r="B8" s="281">
        <f>B7+B6</f>
        <v>262053.10217264853</v>
      </c>
      <c r="C8" s="281">
        <f aca="true" t="shared" si="4" ref="C8:S8">C7+C6</f>
        <v>402297.93968066876</v>
      </c>
      <c r="D8" s="281">
        <f t="shared" si="4"/>
        <v>329696</v>
      </c>
      <c r="E8" s="281">
        <f t="shared" si="4"/>
        <v>244308.3</v>
      </c>
      <c r="F8" s="281">
        <f t="shared" si="4"/>
        <v>188100.1</v>
      </c>
      <c r="G8" s="281">
        <f t="shared" si="4"/>
        <v>194753</v>
      </c>
      <c r="H8" s="281">
        <f t="shared" si="4"/>
        <v>244317.74049443725</v>
      </c>
      <c r="I8" s="281">
        <f t="shared" si="4"/>
        <v>246023</v>
      </c>
      <c r="J8" s="281">
        <f t="shared" si="4"/>
        <v>197636</v>
      </c>
      <c r="K8" s="281">
        <f t="shared" si="4"/>
        <v>172216.77077925095</v>
      </c>
      <c r="L8" s="281">
        <f t="shared" si="4"/>
        <v>229672.0628854891</v>
      </c>
      <c r="M8" s="281">
        <f t="shared" si="4"/>
        <v>369600</v>
      </c>
      <c r="N8" s="281">
        <f t="shared" si="4"/>
        <v>358889.419082549</v>
      </c>
      <c r="O8" s="281">
        <f t="shared" si="4"/>
        <v>324141.1658206509</v>
      </c>
      <c r="P8" s="281">
        <f t="shared" si="4"/>
        <v>325251.384282076</v>
      </c>
      <c r="Q8" s="281">
        <f t="shared" si="4"/>
        <v>216361.67984155897</v>
      </c>
      <c r="R8" s="282">
        <f t="shared" si="4"/>
        <v>198781</v>
      </c>
      <c r="S8" s="282">
        <f t="shared" si="4"/>
        <v>206241</v>
      </c>
      <c r="T8" s="282">
        <v>236896</v>
      </c>
      <c r="U8" s="282">
        <v>217853</v>
      </c>
      <c r="V8" s="282">
        <v>172976</v>
      </c>
      <c r="W8" s="282">
        <f aca="true" t="shared" si="5" ref="W8:AB8">W7+W6</f>
        <v>244893.26697316102</v>
      </c>
      <c r="X8" s="282">
        <f t="shared" si="5"/>
        <v>283557.3820236841</v>
      </c>
      <c r="Y8" s="282">
        <f t="shared" si="5"/>
        <v>410777.1620142299</v>
      </c>
      <c r="Z8" s="282">
        <f t="shared" si="5"/>
        <v>344743</v>
      </c>
      <c r="AA8" s="282">
        <f t="shared" si="5"/>
        <v>266206</v>
      </c>
      <c r="AB8" s="282">
        <f t="shared" si="5"/>
        <v>276280</v>
      </c>
      <c r="AC8" s="282">
        <v>206646</v>
      </c>
      <c r="AD8" s="282">
        <v>199363</v>
      </c>
      <c r="AE8" s="282">
        <f>AE6+AE7</f>
        <v>170872</v>
      </c>
      <c r="AF8" s="282">
        <f>AF6+AF7</f>
        <v>194130</v>
      </c>
      <c r="AG8" s="282">
        <f>AG6+AG7</f>
        <v>202185</v>
      </c>
      <c r="AH8" s="282">
        <f>AH6+AH7</f>
        <v>155934</v>
      </c>
      <c r="AI8" s="282">
        <f>AI6+AI7</f>
        <v>185479</v>
      </c>
      <c r="AJ8" s="282">
        <f>AJ7+AJ6</f>
        <v>179667</v>
      </c>
      <c r="AK8" s="282">
        <f>AK7+AK6</f>
        <v>240431</v>
      </c>
      <c r="AL8" s="282">
        <f aca="true" t="shared" si="6" ref="AL8:CX8">AL7+AL6</f>
        <v>251621</v>
      </c>
      <c r="AM8" s="282">
        <f t="shared" si="6"/>
        <v>188385</v>
      </c>
      <c r="AN8" s="282">
        <f t="shared" si="6"/>
        <v>195580</v>
      </c>
      <c r="AO8" s="282">
        <f t="shared" si="6"/>
        <v>157063</v>
      </c>
      <c r="AP8" s="282">
        <f t="shared" si="6"/>
        <v>147585</v>
      </c>
      <c r="AQ8" s="282">
        <f t="shared" si="6"/>
        <v>133183</v>
      </c>
      <c r="AR8" s="282">
        <f t="shared" si="6"/>
        <v>164163</v>
      </c>
      <c r="AS8" s="282">
        <f t="shared" si="6"/>
        <v>155017</v>
      </c>
      <c r="AT8" s="282">
        <f t="shared" si="6"/>
        <v>116148</v>
      </c>
      <c r="AU8" s="282">
        <f t="shared" si="6"/>
        <v>142706</v>
      </c>
      <c r="AV8" s="282">
        <f t="shared" si="6"/>
        <v>160027</v>
      </c>
      <c r="AW8" s="282">
        <f t="shared" si="6"/>
        <v>223940</v>
      </c>
      <c r="AX8" s="282">
        <f t="shared" si="6"/>
        <v>233074</v>
      </c>
      <c r="AY8" s="282">
        <f t="shared" si="6"/>
        <v>162341</v>
      </c>
      <c r="AZ8" s="282">
        <f t="shared" si="6"/>
        <v>171626</v>
      </c>
      <c r="BA8" s="282">
        <f t="shared" si="6"/>
        <v>122499</v>
      </c>
      <c r="BB8" s="282">
        <f t="shared" si="6"/>
        <v>128751</v>
      </c>
      <c r="BC8" s="282">
        <f t="shared" si="6"/>
        <v>112788</v>
      </c>
      <c r="BD8" s="282">
        <f t="shared" si="6"/>
        <v>132424</v>
      </c>
      <c r="BE8" s="282">
        <f t="shared" si="6"/>
        <v>129295</v>
      </c>
      <c r="BF8" s="282">
        <f t="shared" si="6"/>
        <v>99800</v>
      </c>
      <c r="BG8" s="282">
        <f t="shared" si="6"/>
        <v>130214</v>
      </c>
      <c r="BH8" s="282">
        <f t="shared" si="6"/>
        <v>158213</v>
      </c>
      <c r="BI8" s="282">
        <f t="shared" si="6"/>
        <v>213428</v>
      </c>
      <c r="BJ8" s="282">
        <f t="shared" si="6"/>
        <v>239793</v>
      </c>
      <c r="BK8" s="282">
        <f t="shared" si="6"/>
        <v>155348</v>
      </c>
      <c r="BL8" s="282">
        <f t="shared" si="6"/>
        <v>156234</v>
      </c>
      <c r="BM8" s="282">
        <f t="shared" si="6"/>
        <v>127408</v>
      </c>
      <c r="BN8" s="282">
        <f t="shared" si="6"/>
        <v>122949</v>
      </c>
      <c r="BO8" s="282">
        <f t="shared" si="6"/>
        <v>136560</v>
      </c>
      <c r="BP8" s="282">
        <f t="shared" si="6"/>
        <v>130798</v>
      </c>
      <c r="BQ8" s="282">
        <f t="shared" si="6"/>
        <v>126225</v>
      </c>
      <c r="BR8" s="282">
        <f t="shared" si="6"/>
        <v>89038</v>
      </c>
      <c r="BS8" s="282">
        <f t="shared" si="6"/>
        <v>114654</v>
      </c>
      <c r="BT8" s="282">
        <f t="shared" si="6"/>
        <v>128646</v>
      </c>
      <c r="BU8" s="282">
        <f t="shared" si="6"/>
        <v>186801</v>
      </c>
      <c r="BV8" s="282">
        <f t="shared" si="6"/>
        <v>202192</v>
      </c>
      <c r="BW8" s="282">
        <f t="shared" si="6"/>
        <v>147162</v>
      </c>
      <c r="BX8" s="282">
        <f t="shared" si="6"/>
        <v>162644</v>
      </c>
      <c r="BY8" s="282">
        <f t="shared" si="6"/>
        <v>109262</v>
      </c>
      <c r="BZ8" s="282">
        <f t="shared" si="6"/>
        <v>107654</v>
      </c>
      <c r="CA8" s="282">
        <f t="shared" si="6"/>
        <v>97346</v>
      </c>
      <c r="CB8" s="282">
        <f t="shared" si="6"/>
        <v>109188</v>
      </c>
      <c r="CC8" s="282">
        <f t="shared" si="6"/>
        <v>111991</v>
      </c>
      <c r="CD8" s="282">
        <f t="shared" si="6"/>
        <v>89944.69337397197</v>
      </c>
      <c r="CE8" s="282">
        <f t="shared" si="6"/>
        <v>101471.972069334</v>
      </c>
      <c r="CF8" s="282">
        <f t="shared" si="6"/>
        <v>117704.77609170502</v>
      </c>
      <c r="CG8" s="282">
        <f t="shared" si="6"/>
        <v>181841.284161</v>
      </c>
      <c r="CH8" s="282">
        <f t="shared" si="6"/>
        <v>214516.36144306994</v>
      </c>
      <c r="CI8" s="282">
        <f t="shared" si="6"/>
        <v>135761.62971169</v>
      </c>
      <c r="CJ8" s="282">
        <f t="shared" si="6"/>
        <v>141847.0846859201</v>
      </c>
      <c r="CK8" s="282">
        <f t="shared" si="6"/>
        <v>106261.23067817005</v>
      </c>
      <c r="CL8" s="282">
        <f t="shared" si="6"/>
        <v>109978</v>
      </c>
      <c r="CM8" s="282">
        <f t="shared" si="6"/>
        <v>98977</v>
      </c>
      <c r="CN8" s="282">
        <f t="shared" si="6"/>
        <v>108097</v>
      </c>
      <c r="CO8" s="282">
        <f t="shared" si="6"/>
        <v>111199</v>
      </c>
      <c r="CP8" s="282">
        <f t="shared" si="6"/>
        <v>82045</v>
      </c>
      <c r="CQ8" s="282">
        <f t="shared" si="6"/>
        <v>95717</v>
      </c>
      <c r="CR8" s="282">
        <f t="shared" si="6"/>
        <v>108883</v>
      </c>
      <c r="CS8" s="282">
        <f t="shared" si="6"/>
        <v>169479</v>
      </c>
      <c r="CT8" s="282">
        <f t="shared" si="6"/>
        <v>204031</v>
      </c>
      <c r="CU8" s="282">
        <f t="shared" si="6"/>
        <v>136188</v>
      </c>
      <c r="CV8" s="282">
        <f t="shared" si="6"/>
        <v>181038</v>
      </c>
      <c r="CW8" s="282">
        <f t="shared" si="6"/>
        <v>91410</v>
      </c>
      <c r="CX8" s="282">
        <f t="shared" si="6"/>
        <v>93153</v>
      </c>
      <c r="CY8" s="282">
        <f aca="true" t="shared" si="7" ref="CY8:EC8">CY7+CY6</f>
        <v>87527</v>
      </c>
      <c r="CZ8" s="282">
        <f t="shared" si="7"/>
        <v>104326</v>
      </c>
      <c r="DA8" s="282">
        <f t="shared" si="7"/>
        <v>100710</v>
      </c>
      <c r="DB8" s="282">
        <f t="shared" si="7"/>
        <v>81261.1981964499</v>
      </c>
      <c r="DC8" s="282">
        <f t="shared" si="7"/>
        <v>109926.06800816138</v>
      </c>
      <c r="DD8" s="282">
        <f t="shared" si="7"/>
        <v>128481.30937459995</v>
      </c>
      <c r="DE8" s="282">
        <f t="shared" si="7"/>
        <v>139722.59860103007</v>
      </c>
      <c r="DF8" s="282">
        <f t="shared" si="7"/>
        <v>219024</v>
      </c>
      <c r="DG8" s="282">
        <f t="shared" si="7"/>
        <v>139952</v>
      </c>
      <c r="DH8" s="282">
        <f t="shared" si="7"/>
        <v>183717</v>
      </c>
      <c r="DI8" s="282">
        <f t="shared" si="7"/>
        <v>140125</v>
      </c>
      <c r="DJ8" s="282">
        <f t="shared" si="7"/>
        <v>101574</v>
      </c>
      <c r="DK8" s="282">
        <f t="shared" si="7"/>
        <v>98048</v>
      </c>
      <c r="DL8" s="282">
        <f t="shared" si="7"/>
        <v>111263</v>
      </c>
      <c r="DM8" s="282">
        <f t="shared" si="7"/>
        <v>108397</v>
      </c>
      <c r="DN8" s="282">
        <f t="shared" si="7"/>
        <v>78879</v>
      </c>
      <c r="DO8" s="282">
        <f t="shared" si="7"/>
        <v>98821</v>
      </c>
      <c r="DP8" s="282">
        <f t="shared" si="7"/>
        <v>112237</v>
      </c>
      <c r="DQ8" s="282">
        <f t="shared" si="7"/>
        <v>164879</v>
      </c>
      <c r="DR8" s="282">
        <f t="shared" si="7"/>
        <v>228399</v>
      </c>
      <c r="DS8" s="282">
        <f t="shared" si="7"/>
        <v>134806</v>
      </c>
      <c r="DT8" s="282">
        <f t="shared" si="7"/>
        <v>171818</v>
      </c>
      <c r="DU8" s="282">
        <f t="shared" si="7"/>
        <v>119008</v>
      </c>
      <c r="DV8" s="282">
        <f t="shared" si="7"/>
        <v>95173</v>
      </c>
      <c r="DW8" s="282">
        <f t="shared" si="7"/>
        <v>92680</v>
      </c>
      <c r="DX8" s="1384">
        <f t="shared" si="7"/>
        <v>109306.32928953005</v>
      </c>
      <c r="DY8" s="1384">
        <f t="shared" si="7"/>
        <v>98991.34263163758</v>
      </c>
      <c r="DZ8" s="1384">
        <f t="shared" si="7"/>
        <v>72891</v>
      </c>
      <c r="EA8" s="1384">
        <f t="shared" si="7"/>
        <v>90157</v>
      </c>
      <c r="EB8" s="1384">
        <f t="shared" si="7"/>
        <v>103810.01785787003</v>
      </c>
      <c r="EC8" s="1384">
        <f t="shared" si="7"/>
        <v>140813.77911369002</v>
      </c>
      <c r="ED8" s="660">
        <f>SUM(DR8:EC8)</f>
        <v>1457853.4688927275</v>
      </c>
      <c r="EG8" s="495"/>
    </row>
    <row r="9" spans="1:134" ht="38.25">
      <c r="A9" s="283" t="s">
        <v>602</v>
      </c>
      <c r="B9" s="286">
        <v>733972.936504737</v>
      </c>
      <c r="C9" s="286">
        <v>680053.720967109</v>
      </c>
      <c r="D9" s="286">
        <v>596982</v>
      </c>
      <c r="E9" s="286">
        <v>537949.9</v>
      </c>
      <c r="F9" s="286">
        <v>483890.9</v>
      </c>
      <c r="G9" s="286">
        <v>489723</v>
      </c>
      <c r="H9" s="286">
        <v>536890.863014599</v>
      </c>
      <c r="I9" s="286">
        <v>540566</v>
      </c>
      <c r="J9" s="286">
        <v>469527</v>
      </c>
      <c r="K9" s="286">
        <v>484705.661665298</v>
      </c>
      <c r="L9" s="286">
        <v>548289.026552565</v>
      </c>
      <c r="M9" s="286">
        <v>749398</v>
      </c>
      <c r="N9" s="287">
        <v>743846.309682549</v>
      </c>
      <c r="O9" s="287">
        <v>665392.4103706509</v>
      </c>
      <c r="P9" s="287">
        <v>673578.184832076</v>
      </c>
      <c r="Q9" s="286">
        <v>545600.367041559</v>
      </c>
      <c r="R9" s="284">
        <v>502945</v>
      </c>
      <c r="S9" s="284">
        <v>511390</v>
      </c>
      <c r="T9" s="284">
        <v>546696</v>
      </c>
      <c r="U9" s="284">
        <v>565789</v>
      </c>
      <c r="V9" s="284">
        <v>493056</v>
      </c>
      <c r="W9" s="284">
        <v>532555.3511320871</v>
      </c>
      <c r="X9" s="284">
        <v>589808.270631668</v>
      </c>
      <c r="Y9" s="284">
        <v>774402.8087441729</v>
      </c>
      <c r="Z9" s="287">
        <v>733468</v>
      </c>
      <c r="AA9" s="287">
        <v>631678</v>
      </c>
      <c r="AB9" s="287">
        <v>645837</v>
      </c>
      <c r="AC9" s="286">
        <v>578948</v>
      </c>
      <c r="AD9" s="284">
        <v>541016</v>
      </c>
      <c r="AE9" s="284">
        <v>501088</v>
      </c>
      <c r="AF9" s="284">
        <v>530554</v>
      </c>
      <c r="AG9" s="284">
        <v>556098</v>
      </c>
      <c r="AH9" s="284">
        <v>492427</v>
      </c>
      <c r="AI9" s="284">
        <v>537280</v>
      </c>
      <c r="AJ9" s="284">
        <v>546419</v>
      </c>
      <c r="AK9" s="284">
        <v>640431</v>
      </c>
      <c r="AL9" s="287">
        <v>686041</v>
      </c>
      <c r="AM9" s="287">
        <v>591978</v>
      </c>
      <c r="AN9" s="287">
        <v>594775</v>
      </c>
      <c r="AO9" s="286">
        <v>514282</v>
      </c>
      <c r="AP9" s="284">
        <v>472405</v>
      </c>
      <c r="AQ9" s="284">
        <v>465730</v>
      </c>
      <c r="AR9" s="284">
        <v>536160</v>
      </c>
      <c r="AS9" s="284">
        <v>529208</v>
      </c>
      <c r="AT9" s="284">
        <v>459012</v>
      </c>
      <c r="AU9" s="284">
        <v>476969</v>
      </c>
      <c r="AV9" s="284">
        <v>519281</v>
      </c>
      <c r="AW9" s="284">
        <v>649026</v>
      </c>
      <c r="AX9" s="287">
        <v>671884</v>
      </c>
      <c r="AY9" s="287">
        <v>559772</v>
      </c>
      <c r="AZ9" s="287">
        <v>573419</v>
      </c>
      <c r="BA9" s="286">
        <v>469803</v>
      </c>
      <c r="BB9" s="284">
        <v>477469</v>
      </c>
      <c r="BC9" s="284">
        <v>463248</v>
      </c>
      <c r="BD9" s="284">
        <v>509916</v>
      </c>
      <c r="BE9" s="284">
        <v>514034</v>
      </c>
      <c r="BF9" s="284">
        <v>451153</v>
      </c>
      <c r="BG9" s="284">
        <v>480236</v>
      </c>
      <c r="BH9" s="284">
        <v>540024</v>
      </c>
      <c r="BI9" s="284">
        <v>688760</v>
      </c>
      <c r="BJ9" s="287">
        <v>715886</v>
      </c>
      <c r="BK9" s="287">
        <v>562270</v>
      </c>
      <c r="BL9" s="287">
        <v>545214</v>
      </c>
      <c r="BM9" s="286">
        <v>493731</v>
      </c>
      <c r="BN9" s="284">
        <v>475055</v>
      </c>
      <c r="BO9" s="284">
        <v>485386</v>
      </c>
      <c r="BP9" s="284">
        <v>529805</v>
      </c>
      <c r="BQ9" s="284">
        <v>541989</v>
      </c>
      <c r="BR9" s="284">
        <v>449924</v>
      </c>
      <c r="BS9" s="284">
        <v>482629</v>
      </c>
      <c r="BT9" s="284">
        <v>546256</v>
      </c>
      <c r="BU9" s="284">
        <v>668034</v>
      </c>
      <c r="BV9" s="287">
        <v>659778</v>
      </c>
      <c r="BW9" s="287">
        <v>590823</v>
      </c>
      <c r="BX9" s="287">
        <v>597595</v>
      </c>
      <c r="BY9" s="286">
        <v>468417</v>
      </c>
      <c r="BZ9" s="284">
        <v>467468</v>
      </c>
      <c r="CA9" s="284">
        <v>468885</v>
      </c>
      <c r="CB9" s="284">
        <v>508892</v>
      </c>
      <c r="CC9" s="284">
        <v>539134</v>
      </c>
      <c r="CD9" s="284">
        <v>465468.41102895</v>
      </c>
      <c r="CE9" s="284">
        <v>471406.74544532003</v>
      </c>
      <c r="CF9" s="284">
        <v>517882.03745769</v>
      </c>
      <c r="CG9" s="284">
        <v>681161.9958609999</v>
      </c>
      <c r="CH9" s="292">
        <v>735812.7324330698</v>
      </c>
      <c r="CI9" s="292">
        <v>586992.48008369</v>
      </c>
      <c r="CJ9" s="292">
        <v>559331.1568939202</v>
      </c>
      <c r="CK9" s="292">
        <v>500485.03576017026</v>
      </c>
      <c r="CL9" s="292">
        <v>501061</v>
      </c>
      <c r="CM9" s="292">
        <v>500729</v>
      </c>
      <c r="CN9" s="292">
        <v>533842</v>
      </c>
      <c r="CO9" s="292">
        <v>565788</v>
      </c>
      <c r="CP9" s="292">
        <v>471684</v>
      </c>
      <c r="CQ9" s="292">
        <v>472833</v>
      </c>
      <c r="CR9" s="292">
        <v>507920</v>
      </c>
      <c r="CS9" s="292">
        <v>636532</v>
      </c>
      <c r="CT9" s="292">
        <v>708611</v>
      </c>
      <c r="CU9" s="292">
        <v>607803</v>
      </c>
      <c r="CV9" s="292">
        <v>589581</v>
      </c>
      <c r="CW9" s="292">
        <v>489236</v>
      </c>
      <c r="CX9" s="273">
        <v>464183</v>
      </c>
      <c r="CY9" s="273">
        <v>463789</v>
      </c>
      <c r="CZ9" s="273">
        <v>527801</v>
      </c>
      <c r="DA9" s="273">
        <v>533336</v>
      </c>
      <c r="DB9" s="273">
        <v>482358</v>
      </c>
      <c r="DC9" s="273">
        <v>506280</v>
      </c>
      <c r="DD9" s="273">
        <v>562127</v>
      </c>
      <c r="DE9" s="273">
        <v>669977</v>
      </c>
      <c r="DF9" s="292">
        <v>724554</v>
      </c>
      <c r="DG9" s="292">
        <v>629962</v>
      </c>
      <c r="DH9" s="292">
        <v>662183</v>
      </c>
      <c r="DI9" s="292">
        <v>590810</v>
      </c>
      <c r="DJ9" s="273">
        <v>504970</v>
      </c>
      <c r="DK9" s="273">
        <v>519563</v>
      </c>
      <c r="DL9" s="273">
        <v>591485</v>
      </c>
      <c r="DM9" s="273">
        <v>603872</v>
      </c>
      <c r="DN9" s="273">
        <v>485288</v>
      </c>
      <c r="DO9" s="273">
        <v>523606</v>
      </c>
      <c r="DP9" s="273">
        <v>552840</v>
      </c>
      <c r="DQ9" s="273">
        <v>747790</v>
      </c>
      <c r="DR9" s="292">
        <v>774084</v>
      </c>
      <c r="DS9" s="292">
        <v>656456</v>
      </c>
      <c r="DT9" s="292">
        <v>698991</v>
      </c>
      <c r="DU9" s="292">
        <v>556275</v>
      </c>
      <c r="DV9" s="292">
        <v>504224</v>
      </c>
      <c r="DW9" s="292">
        <v>525509</v>
      </c>
      <c r="DX9" s="1383">
        <v>591875</v>
      </c>
      <c r="DY9" s="1383">
        <v>587527</v>
      </c>
      <c r="DZ9" s="1383">
        <v>481886</v>
      </c>
      <c r="EA9" s="1383">
        <v>480961</v>
      </c>
      <c r="EB9" s="1385">
        <v>536263.2373268701</v>
      </c>
      <c r="EC9" s="1385">
        <v>650564.1401926901</v>
      </c>
      <c r="ED9" s="660">
        <f>SUM(DR9:EC9)</f>
        <v>7044615.37751956</v>
      </c>
    </row>
    <row r="12" spans="137:138" ht="14.25">
      <c r="EG12" s="851"/>
      <c r="EH12" s="851"/>
    </row>
    <row r="13" spans="137:138" ht="14.25">
      <c r="EG13" s="851"/>
      <c r="EH13" s="851"/>
    </row>
    <row r="14" spans="137:138" ht="14.25">
      <c r="EG14" s="851"/>
      <c r="EH14" s="851"/>
    </row>
    <row r="85" ht="8.25" thickBot="1"/>
    <row r="86" spans="106:165" ht="18" thickBot="1">
      <c r="DB86" s="1875" t="s">
        <v>857</v>
      </c>
      <c r="DC86" s="1876"/>
      <c r="DD86" s="1876"/>
      <c r="DE86" s="1876"/>
      <c r="DF86" s="1876"/>
      <c r="DG86" s="1876"/>
      <c r="DH86" s="1876"/>
      <c r="DI86" s="1876"/>
      <c r="DJ86" s="1876"/>
      <c r="DK86" s="1876"/>
      <c r="DL86" s="1876"/>
      <c r="DM86" s="1876"/>
      <c r="DN86" s="1876"/>
      <c r="DO86" s="1876"/>
      <c r="DP86" s="1876"/>
      <c r="DQ86" s="1876"/>
      <c r="DR86" s="1876"/>
      <c r="DS86" s="1877"/>
      <c r="EG86" s="1872"/>
      <c r="EH86" s="1872"/>
      <c r="EI86" s="1872"/>
      <c r="EJ86" s="1872"/>
      <c r="EK86" s="1872"/>
      <c r="EL86" s="1872"/>
      <c r="EM86" s="1872"/>
      <c r="EN86" s="1872"/>
      <c r="EO86" s="1872"/>
      <c r="EP86" s="1872"/>
      <c r="EQ86" s="1872"/>
      <c r="ER86" s="1872"/>
      <c r="ES86" s="1872"/>
      <c r="ET86" s="1872"/>
      <c r="EU86" s="1872"/>
      <c r="EV86" s="1872"/>
      <c r="EW86" s="1872"/>
      <c r="EX86" s="1872"/>
      <c r="EY86" s="1872"/>
      <c r="EZ86" s="1872"/>
      <c r="FA86" s="1872"/>
      <c r="FB86" s="1872"/>
      <c r="FC86" s="1872"/>
      <c r="FD86" s="1872"/>
      <c r="FE86" s="1872"/>
      <c r="FF86" s="1872"/>
      <c r="FG86" s="1872"/>
      <c r="FH86" s="1872"/>
      <c r="FI86" s="1872"/>
    </row>
  </sheetData>
  <sheetProtection/>
  <mergeCells count="14">
    <mergeCell ref="DR2:EC2"/>
    <mergeCell ref="DF2:DQ2"/>
    <mergeCell ref="EG86:FI86"/>
    <mergeCell ref="CT2:DE2"/>
    <mergeCell ref="A1:DE1"/>
    <mergeCell ref="CH2:CS2"/>
    <mergeCell ref="BV2:CG2"/>
    <mergeCell ref="B2:M2"/>
    <mergeCell ref="N2:Y2"/>
    <mergeCell ref="BJ2:BU2"/>
    <mergeCell ref="Z2:AK2"/>
    <mergeCell ref="AL2:AW2"/>
    <mergeCell ref="AX2:BI2"/>
    <mergeCell ref="DB86:DS86"/>
  </mergeCells>
  <printOptions/>
  <pageMargins left="0.25" right="0.25" top="0.75" bottom="0.75" header="0.3" footer="0.3"/>
  <pageSetup fitToHeight="1" fitToWidth="1" orientation="landscape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45"/>
  <sheetViews>
    <sheetView view="pageBreakPreview" zoomScale="60" zoomScalePageLayoutView="0" workbookViewId="0" topLeftCell="A2">
      <selection activeCell="J64" sqref="J64"/>
    </sheetView>
  </sheetViews>
  <sheetFormatPr defaultColWidth="9.140625" defaultRowHeight="15"/>
  <cols>
    <col min="1" max="1" width="39.28125" style="1" bestFit="1" customWidth="1"/>
    <col min="2" max="3" width="8.8515625" style="1" bestFit="1" customWidth="1"/>
    <col min="4" max="4" width="9.7109375" style="1" customWidth="1"/>
    <col min="5" max="5" width="9.00390625" style="1" customWidth="1"/>
    <col min="6" max="6" width="8.8515625" style="1" bestFit="1" customWidth="1"/>
    <col min="7" max="7" width="8.8515625" style="1" customWidth="1"/>
    <col min="8" max="11" width="8.8515625" style="1" bestFit="1" customWidth="1"/>
    <col min="12" max="13" width="10.421875" style="1" customWidth="1"/>
    <col min="14" max="15" width="7.8515625" style="1" bestFit="1" customWidth="1"/>
    <col min="16" max="16" width="10.8515625" style="1" customWidth="1"/>
    <col min="17" max="24" width="3.28125" style="1" bestFit="1" customWidth="1"/>
    <col min="25" max="25" width="18.7109375" style="1" customWidth="1"/>
    <col min="26" max="100" width="3.28125" style="1" bestFit="1" customWidth="1"/>
    <col min="101" max="101" width="2.8515625" style="1" customWidth="1"/>
    <col min="102" max="16384" width="9.140625" style="1" customWidth="1"/>
  </cols>
  <sheetData>
    <row r="1" spans="1:13" ht="15">
      <c r="A1" s="1878" t="s">
        <v>1079</v>
      </c>
      <c r="B1" s="1879"/>
      <c r="C1" s="1879"/>
      <c r="D1" s="1879"/>
      <c r="E1" s="1879"/>
      <c r="F1" s="1879"/>
      <c r="G1" s="1879"/>
      <c r="H1" s="1879"/>
      <c r="I1" s="1879"/>
      <c r="J1" s="1879"/>
      <c r="K1" s="1879"/>
      <c r="L1" s="1879"/>
      <c r="M1" s="656"/>
    </row>
    <row r="2" spans="1:15" ht="27" customHeight="1">
      <c r="A2" s="241"/>
      <c r="B2" s="122">
        <v>2009</v>
      </c>
      <c r="C2" s="122">
        <v>2010</v>
      </c>
      <c r="D2" s="122">
        <v>2011</v>
      </c>
      <c r="E2" s="122">
        <v>2012</v>
      </c>
      <c r="F2" s="122">
        <v>2013</v>
      </c>
      <c r="G2" s="122">
        <v>2014</v>
      </c>
      <c r="H2" s="122">
        <v>2015</v>
      </c>
      <c r="I2" s="122">
        <v>2016</v>
      </c>
      <c r="J2" s="122">
        <v>2017</v>
      </c>
      <c r="K2" s="142">
        <v>2018</v>
      </c>
      <c r="L2" s="245">
        <v>2019</v>
      </c>
      <c r="M2" s="245">
        <v>2020</v>
      </c>
      <c r="N2" s="142">
        <v>2021</v>
      </c>
      <c r="O2" s="1388">
        <v>2022</v>
      </c>
    </row>
    <row r="3" spans="1:15" ht="13.5">
      <c r="A3" s="123" t="s">
        <v>521</v>
      </c>
      <c r="B3" s="124">
        <v>178738</v>
      </c>
      <c r="C3" s="124">
        <v>163546</v>
      </c>
      <c r="D3" s="124">
        <v>170937.218917336</v>
      </c>
      <c r="E3" s="124">
        <v>161830.6504243079</v>
      </c>
      <c r="F3" s="124">
        <v>201683.95056576282</v>
      </c>
      <c r="G3" s="124">
        <v>193208</v>
      </c>
      <c r="H3" s="124">
        <v>162725</v>
      </c>
      <c r="I3" s="124">
        <v>155629</v>
      </c>
      <c r="J3" s="124">
        <v>141707</v>
      </c>
      <c r="K3" s="143">
        <v>125973.71581125213</v>
      </c>
      <c r="L3" s="294">
        <v>117739</v>
      </c>
      <c r="M3" s="348">
        <v>103729</v>
      </c>
      <c r="N3" s="661">
        <v>107340</v>
      </c>
      <c r="O3" s="661">
        <v>93331</v>
      </c>
    </row>
    <row r="4" spans="1:25" ht="13.5">
      <c r="A4" s="123" t="s">
        <v>786</v>
      </c>
      <c r="B4" s="124">
        <v>1015450</v>
      </c>
      <c r="C4" s="124">
        <v>968534.8354</v>
      </c>
      <c r="D4" s="124">
        <v>814825.715869299</v>
      </c>
      <c r="E4" s="124">
        <v>879616.3655881869</v>
      </c>
      <c r="F4" s="124">
        <v>884359.9722043211</v>
      </c>
      <c r="G4" s="124">
        <v>908416</v>
      </c>
      <c r="H4" s="124">
        <v>1203793</v>
      </c>
      <c r="I4" s="124">
        <v>1190872</v>
      </c>
      <c r="J4" s="124">
        <v>1106007</v>
      </c>
      <c r="K4" s="143">
        <v>944586.5000611993</v>
      </c>
      <c r="L4" s="294">
        <v>836561</v>
      </c>
      <c r="M4" s="348">
        <v>828906</v>
      </c>
      <c r="N4" s="661">
        <v>921330</v>
      </c>
      <c r="O4" s="661">
        <v>886682</v>
      </c>
      <c r="X4" s="664"/>
      <c r="Y4" s="665"/>
    </row>
    <row r="5" spans="1:25" ht="13.5">
      <c r="A5" s="123" t="s">
        <v>787</v>
      </c>
      <c r="B5" s="124">
        <v>1194188</v>
      </c>
      <c r="C5" s="124">
        <v>1132080.8354</v>
      </c>
      <c r="D5" s="124">
        <v>985762.9347866349</v>
      </c>
      <c r="E5" s="124">
        <v>1041447.0160124949</v>
      </c>
      <c r="F5" s="124">
        <v>1086043.922770084</v>
      </c>
      <c r="G5" s="124">
        <v>1101624</v>
      </c>
      <c r="H5" s="124">
        <v>1366518</v>
      </c>
      <c r="I5" s="124">
        <v>1346501</v>
      </c>
      <c r="J5" s="124">
        <f>SUM(J3:J4)</f>
        <v>1247714</v>
      </c>
      <c r="K5" s="143">
        <f>K3+K4</f>
        <v>1070560.2158724514</v>
      </c>
      <c r="L5" s="143">
        <f>L3+L4</f>
        <v>954300</v>
      </c>
      <c r="M5" s="143">
        <f>M3+M4</f>
        <v>932635</v>
      </c>
      <c r="N5" s="662">
        <f>N3+N4</f>
        <v>1028670</v>
      </c>
      <c r="O5" s="662">
        <f>O3+O4</f>
        <v>980013</v>
      </c>
      <c r="P5" s="935"/>
      <c r="X5" s="664"/>
      <c r="Y5" s="665"/>
    </row>
    <row r="6" spans="1:25" ht="13.5">
      <c r="A6" s="123" t="s">
        <v>788</v>
      </c>
      <c r="B6" s="124">
        <v>922954</v>
      </c>
      <c r="C6" s="124">
        <v>778815.1646</v>
      </c>
      <c r="D6" s="124">
        <v>1020431.9766085205</v>
      </c>
      <c r="E6" s="124">
        <v>2039226.9999999998</v>
      </c>
      <c r="F6" s="124">
        <v>2110574.537267826</v>
      </c>
      <c r="G6" s="124">
        <v>1520312</v>
      </c>
      <c r="H6" s="124">
        <v>668900</v>
      </c>
      <c r="I6" s="124">
        <v>447952</v>
      </c>
      <c r="J6" s="124">
        <v>468802</v>
      </c>
      <c r="K6" s="143">
        <v>467942.86864713556</v>
      </c>
      <c r="L6" s="294">
        <v>528661</v>
      </c>
      <c r="M6" s="348">
        <v>525106</v>
      </c>
      <c r="N6" s="661">
        <v>528283</v>
      </c>
      <c r="O6" s="1389">
        <v>477828</v>
      </c>
      <c r="P6" s="1390"/>
      <c r="X6" s="664"/>
      <c r="Y6" s="665"/>
    </row>
    <row r="7" spans="1:25" ht="13.5">
      <c r="A7" s="123" t="s">
        <v>789</v>
      </c>
      <c r="B7" s="124">
        <v>2117142</v>
      </c>
      <c r="C7" s="124">
        <v>1910896</v>
      </c>
      <c r="D7" s="124">
        <v>2006194.9113951556</v>
      </c>
      <c r="E7" s="124">
        <v>3080674.0160124954</v>
      </c>
      <c r="F7" s="124">
        <v>3196618.4600379104</v>
      </c>
      <c r="G7" s="124">
        <v>2621936</v>
      </c>
      <c r="H7" s="124">
        <v>2035418</v>
      </c>
      <c r="I7" s="124">
        <v>1794453</v>
      </c>
      <c r="J7" s="124">
        <f>J5+J6</f>
        <v>1716516</v>
      </c>
      <c r="K7" s="143">
        <f>K5+K6</f>
        <v>1538503.084519587</v>
      </c>
      <c r="L7" s="143">
        <f>L5+L6</f>
        <v>1482961</v>
      </c>
      <c r="M7" s="143">
        <f>M5+M6</f>
        <v>1457741</v>
      </c>
      <c r="N7" s="662">
        <f>N5+N6</f>
        <v>1556953</v>
      </c>
      <c r="O7" s="661">
        <f>O3+O4+O6</f>
        <v>1457841</v>
      </c>
      <c r="X7" s="664"/>
      <c r="Y7" s="665"/>
    </row>
    <row r="8" spans="14:25" ht="13.5">
      <c r="N8" s="495"/>
      <c r="O8" s="663"/>
      <c r="X8" s="664"/>
      <c r="Y8" s="665"/>
    </row>
    <row r="13" ht="13.5">
      <c r="K13" s="22"/>
    </row>
    <row r="18" spans="82:89" ht="13.5">
      <c r="CD18" s="138"/>
      <c r="CE18" s="121"/>
      <c r="CF18" s="121"/>
      <c r="CG18" s="121"/>
      <c r="CH18" s="121"/>
      <c r="CI18" s="121"/>
      <c r="CJ18" s="121"/>
      <c r="CK18" s="121"/>
    </row>
    <row r="44" ht="14.25" thickBot="1"/>
    <row r="45" spans="8:12" ht="15.75" thickBot="1">
      <c r="H45" s="1748" t="s">
        <v>857</v>
      </c>
      <c r="I45" s="1749"/>
      <c r="J45" s="1749"/>
      <c r="K45" s="1749"/>
      <c r="L45" s="1750"/>
    </row>
  </sheetData>
  <sheetProtection/>
  <mergeCells count="2">
    <mergeCell ref="A1:L1"/>
    <mergeCell ref="H45:L45"/>
  </mergeCells>
  <printOptions/>
  <pageMargins left="0.25" right="0.25" top="0.75" bottom="0.75" header="0.3" footer="0.3"/>
  <pageSetup fitToHeight="1" fitToWidth="1" orientation="landscape" scale="76" r:id="rId2"/>
  <colBreaks count="1" manualBreakCount="1">
    <brk id="27" max="67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7"/>
  <sheetViews>
    <sheetView view="pageBreakPreview" zoomScale="75" zoomScaleSheetLayoutView="75" zoomScalePageLayoutView="0" workbookViewId="0" topLeftCell="A131">
      <selection activeCell="G168" sqref="G168"/>
    </sheetView>
  </sheetViews>
  <sheetFormatPr defaultColWidth="9.140625" defaultRowHeight="15"/>
  <cols>
    <col min="1" max="1" width="25.421875" style="1" customWidth="1"/>
    <col min="2" max="2" width="33.28125" style="1" bestFit="1" customWidth="1"/>
    <col min="3" max="3" width="23.7109375" style="1" customWidth="1"/>
    <col min="4" max="4" width="31.8515625" style="1" customWidth="1"/>
    <col min="5" max="5" width="28.7109375" style="1" customWidth="1"/>
    <col min="6" max="6" width="23.421875" style="1" customWidth="1"/>
    <col min="7" max="7" width="30.140625" style="1" customWidth="1"/>
    <col min="8" max="8" width="32.57421875" style="1" customWidth="1"/>
    <col min="9" max="9" width="27.7109375" style="1" customWidth="1"/>
    <col min="10" max="16384" width="9.140625" style="1" customWidth="1"/>
  </cols>
  <sheetData>
    <row r="1" spans="1:13" ht="30" customHeight="1" thickBot="1">
      <c r="A1" s="1889" t="s">
        <v>0</v>
      </c>
      <c r="B1" s="1890"/>
      <c r="C1" s="1890"/>
      <c r="D1" s="1890"/>
      <c r="E1" s="1890"/>
      <c r="F1" s="1890"/>
      <c r="G1" s="1890"/>
      <c r="H1" s="1890"/>
      <c r="I1" s="1891"/>
      <c r="J1" s="83"/>
      <c r="K1" s="83"/>
      <c r="L1" s="83"/>
      <c r="M1" s="83"/>
    </row>
    <row r="2" spans="1:11" ht="41.25" customHeight="1">
      <c r="A2" s="1883" t="s">
        <v>138</v>
      </c>
      <c r="B2" s="36" t="s">
        <v>790</v>
      </c>
      <c r="C2" s="36" t="s">
        <v>1</v>
      </c>
      <c r="D2" s="1885" t="s">
        <v>2</v>
      </c>
      <c r="E2" s="1885" t="s">
        <v>3</v>
      </c>
      <c r="F2" s="1885" t="s">
        <v>4</v>
      </c>
      <c r="G2" s="1885" t="s">
        <v>5</v>
      </c>
      <c r="H2" s="1885" t="s">
        <v>6</v>
      </c>
      <c r="I2" s="1887" t="s">
        <v>7</v>
      </c>
      <c r="J2" s="82"/>
      <c r="K2" s="82"/>
    </row>
    <row r="3" spans="1:9" ht="21" customHeight="1" thickBot="1">
      <c r="A3" s="1884"/>
      <c r="B3" s="37">
        <v>71374446.72644092</v>
      </c>
      <c r="C3" s="657"/>
      <c r="D3" s="1886"/>
      <c r="E3" s="1886"/>
      <c r="F3" s="1886"/>
      <c r="G3" s="1886"/>
      <c r="H3" s="1886"/>
      <c r="I3" s="1888"/>
    </row>
    <row r="4" spans="1:9" ht="14.25" thickBot="1">
      <c r="A4" s="38"/>
      <c r="B4" s="39"/>
      <c r="C4" s="40">
        <v>2</v>
      </c>
      <c r="D4" s="40">
        <v>5</v>
      </c>
      <c r="E4" s="40">
        <v>7</v>
      </c>
      <c r="F4" s="40" t="s">
        <v>8</v>
      </c>
      <c r="G4" s="40" t="s">
        <v>9</v>
      </c>
      <c r="H4" s="40" t="s">
        <v>10</v>
      </c>
      <c r="I4" s="41" t="s">
        <v>11</v>
      </c>
    </row>
    <row r="5" spans="1:9" ht="13.5">
      <c r="A5" s="42" t="s">
        <v>12</v>
      </c>
      <c r="B5" s="43">
        <f>B3+H5</f>
        <v>72385326.42758091</v>
      </c>
      <c r="C5" s="44">
        <v>4899949.283399993</v>
      </c>
      <c r="D5" s="45">
        <v>3593287.9111900013</v>
      </c>
      <c r="E5" s="45">
        <v>295781.6710699999</v>
      </c>
      <c r="F5" s="46">
        <v>3889070</v>
      </c>
      <c r="G5" s="47">
        <f aca="true" t="shared" si="0" ref="G5:G16">C5-D5</f>
        <v>1306661.3722099913</v>
      </c>
      <c r="H5" s="47">
        <f aca="true" t="shared" si="1" ref="H5:H16">C5-D5-E5-I5</f>
        <v>1010879.7011399914</v>
      </c>
      <c r="I5" s="48">
        <v>0</v>
      </c>
    </row>
    <row r="6" spans="1:9" ht="13.5">
      <c r="A6" s="49" t="s">
        <v>13</v>
      </c>
      <c r="B6" s="50">
        <f>B5+H6</f>
        <v>73231147.8173578</v>
      </c>
      <c r="C6" s="51">
        <v>4623940.7858499875</v>
      </c>
      <c r="D6" s="51">
        <v>1224858.2124599963</v>
      </c>
      <c r="E6" s="52">
        <v>2553261.1836131075</v>
      </c>
      <c r="F6" s="47">
        <f aca="true" t="shared" si="2" ref="F6:F16">D6+E6</f>
        <v>3778119.396073104</v>
      </c>
      <c r="G6" s="47">
        <f t="shared" si="0"/>
        <v>3399082.573389991</v>
      </c>
      <c r="H6" s="47">
        <f t="shared" si="1"/>
        <v>845821.3897768836</v>
      </c>
      <c r="I6" s="48">
        <v>0</v>
      </c>
    </row>
    <row r="7" spans="1:9" ht="13.5">
      <c r="A7" s="49" t="s">
        <v>14</v>
      </c>
      <c r="B7" s="50">
        <f>B6+H7</f>
        <v>73905561.61443263</v>
      </c>
      <c r="C7" s="51">
        <v>4645564.20399284</v>
      </c>
      <c r="D7" s="51">
        <v>3226835.580515001</v>
      </c>
      <c r="E7" s="51">
        <v>744314.8264030004</v>
      </c>
      <c r="F7" s="47">
        <f t="shared" si="2"/>
        <v>3971150.4069180014</v>
      </c>
      <c r="G7" s="47">
        <f t="shared" si="0"/>
        <v>1418728.623477839</v>
      </c>
      <c r="H7" s="47">
        <f t="shared" si="1"/>
        <v>674413.7970748385</v>
      </c>
      <c r="I7" s="48">
        <v>0</v>
      </c>
    </row>
    <row r="8" spans="1:9" ht="13.5">
      <c r="A8" s="49" t="s">
        <v>15</v>
      </c>
      <c r="B8" s="50">
        <f aca="true" t="shared" si="3" ref="B8:B16">B7+H8</f>
        <v>70676445.61443263</v>
      </c>
      <c r="C8" s="53">
        <v>4538921</v>
      </c>
      <c r="D8" s="53">
        <v>3291530</v>
      </c>
      <c r="E8" s="53">
        <v>680634</v>
      </c>
      <c r="F8" s="47">
        <f t="shared" si="2"/>
        <v>3972164</v>
      </c>
      <c r="G8" s="47">
        <f t="shared" si="0"/>
        <v>1247391</v>
      </c>
      <c r="H8" s="47">
        <f t="shared" si="1"/>
        <v>-3229116</v>
      </c>
      <c r="I8" s="48">
        <v>3795873</v>
      </c>
    </row>
    <row r="9" spans="1:9" ht="13.5">
      <c r="A9" s="49" t="s">
        <v>16</v>
      </c>
      <c r="B9" s="50">
        <f t="shared" si="3"/>
        <v>71544529.61443263</v>
      </c>
      <c r="C9" s="53">
        <v>4190118</v>
      </c>
      <c r="D9" s="53">
        <v>3345044</v>
      </c>
      <c r="E9" s="53">
        <v>374413</v>
      </c>
      <c r="F9" s="47">
        <f t="shared" si="2"/>
        <v>3719457</v>
      </c>
      <c r="G9" s="47">
        <f t="shared" si="0"/>
        <v>845074</v>
      </c>
      <c r="H9" s="47">
        <f t="shared" si="1"/>
        <v>868084</v>
      </c>
      <c r="I9" s="54">
        <v>-397423</v>
      </c>
    </row>
    <row r="10" spans="1:9" ht="13.5">
      <c r="A10" s="49" t="s">
        <v>17</v>
      </c>
      <c r="B10" s="50">
        <f t="shared" si="3"/>
        <v>72209336.61443263</v>
      </c>
      <c r="C10" s="53">
        <v>4025464</v>
      </c>
      <c r="D10" s="53">
        <v>3065523</v>
      </c>
      <c r="E10" s="53">
        <v>295134</v>
      </c>
      <c r="F10" s="47">
        <f t="shared" si="2"/>
        <v>3360657</v>
      </c>
      <c r="G10" s="47">
        <f t="shared" si="0"/>
        <v>959941</v>
      </c>
      <c r="H10" s="47">
        <f t="shared" si="1"/>
        <v>664807</v>
      </c>
      <c r="I10" s="48"/>
    </row>
    <row r="11" spans="1:9" ht="13.5">
      <c r="A11" s="49" t="s">
        <v>18</v>
      </c>
      <c r="B11" s="50">
        <f t="shared" si="3"/>
        <v>72816892.62516618</v>
      </c>
      <c r="C11" s="55">
        <v>4097546.5829663128</v>
      </c>
      <c r="D11" s="56">
        <v>3184902.351940602</v>
      </c>
      <c r="E11" s="55">
        <v>305088.22029216774</v>
      </c>
      <c r="F11" s="47">
        <f t="shared" si="2"/>
        <v>3489990.57223277</v>
      </c>
      <c r="G11" s="47">
        <f t="shared" si="0"/>
        <v>912644.2310257107</v>
      </c>
      <c r="H11" s="47">
        <f t="shared" si="1"/>
        <v>607556.010733543</v>
      </c>
      <c r="I11" s="48"/>
    </row>
    <row r="12" spans="1:9" ht="13.5">
      <c r="A12" s="49" t="s">
        <v>19</v>
      </c>
      <c r="B12" s="50">
        <f t="shared" si="3"/>
        <v>73694774.11627498</v>
      </c>
      <c r="C12" s="51">
        <v>4299884.94734</v>
      </c>
      <c r="D12" s="51">
        <v>3115140.6067506</v>
      </c>
      <c r="E12" s="51">
        <v>311466.849480601</v>
      </c>
      <c r="F12" s="47">
        <f t="shared" si="2"/>
        <v>3426607.456231201</v>
      </c>
      <c r="G12" s="47">
        <f t="shared" si="0"/>
        <v>1184744.3405894004</v>
      </c>
      <c r="H12" s="47">
        <f t="shared" si="1"/>
        <v>877881.4911087994</v>
      </c>
      <c r="I12" s="19">
        <v>-4604</v>
      </c>
    </row>
    <row r="13" spans="1:9" ht="13.5">
      <c r="A13" s="49" t="s">
        <v>20</v>
      </c>
      <c r="B13" s="50">
        <f t="shared" si="3"/>
        <v>72527144.56636499</v>
      </c>
      <c r="C13" s="51">
        <v>4065705.3119900078</v>
      </c>
      <c r="D13" s="51">
        <v>3343187.7485698983</v>
      </c>
      <c r="E13" s="51">
        <v>1069912.1133301007</v>
      </c>
      <c r="F13" s="47">
        <f t="shared" si="2"/>
        <v>4413099.861899999</v>
      </c>
      <c r="G13" s="47">
        <f t="shared" si="0"/>
        <v>722517.5634201095</v>
      </c>
      <c r="H13" s="47">
        <f t="shared" si="1"/>
        <v>-1167629.5499099912</v>
      </c>
      <c r="I13" s="48">
        <v>820235</v>
      </c>
    </row>
    <row r="14" spans="1:9" ht="13.5">
      <c r="A14" s="57" t="s">
        <v>21</v>
      </c>
      <c r="B14" s="50">
        <f t="shared" si="3"/>
        <v>72630239.56636499</v>
      </c>
      <c r="C14" s="58">
        <v>4280796</v>
      </c>
      <c r="D14" s="53">
        <v>3647110</v>
      </c>
      <c r="E14" s="53">
        <v>457224</v>
      </c>
      <c r="F14" s="47">
        <f t="shared" si="2"/>
        <v>4104334</v>
      </c>
      <c r="G14" s="47">
        <f t="shared" si="0"/>
        <v>633686</v>
      </c>
      <c r="H14" s="47">
        <f t="shared" si="1"/>
        <v>103095</v>
      </c>
      <c r="I14" s="48">
        <v>73367</v>
      </c>
    </row>
    <row r="15" spans="1:9" ht="13.5">
      <c r="A15" s="49" t="s">
        <v>22</v>
      </c>
      <c r="B15" s="50">
        <f t="shared" si="3"/>
        <v>72771143.56636499</v>
      </c>
      <c r="C15" s="59">
        <v>4504528</v>
      </c>
      <c r="D15" s="60">
        <v>3459192</v>
      </c>
      <c r="E15" s="59">
        <v>904432</v>
      </c>
      <c r="F15" s="47">
        <f t="shared" si="2"/>
        <v>4363624</v>
      </c>
      <c r="G15" s="47">
        <f t="shared" si="0"/>
        <v>1045336</v>
      </c>
      <c r="H15" s="47">
        <f t="shared" si="1"/>
        <v>140904</v>
      </c>
      <c r="I15" s="48"/>
    </row>
    <row r="16" spans="1:9" ht="13.5">
      <c r="A16" s="49" t="s">
        <v>23</v>
      </c>
      <c r="B16" s="50">
        <f t="shared" si="3"/>
        <v>71406046.56636499</v>
      </c>
      <c r="C16" s="47">
        <v>4985556</v>
      </c>
      <c r="D16" s="47">
        <v>4273473</v>
      </c>
      <c r="E16" s="47">
        <v>2077180</v>
      </c>
      <c r="F16" s="47">
        <f t="shared" si="2"/>
        <v>6350653</v>
      </c>
      <c r="G16" s="47">
        <f t="shared" si="0"/>
        <v>712083</v>
      </c>
      <c r="H16" s="47">
        <f t="shared" si="1"/>
        <v>-1365097</v>
      </c>
      <c r="I16" s="48"/>
    </row>
    <row r="17" spans="1:9" ht="14.25" thickBot="1">
      <c r="A17" s="61" t="s">
        <v>24</v>
      </c>
      <c r="B17" s="62"/>
      <c r="C17" s="63">
        <f>SUM(C5:C16)</f>
        <v>53157974.11553914</v>
      </c>
      <c r="D17" s="63">
        <f>SUM(D5:D16)</f>
        <v>38770084.4114261</v>
      </c>
      <c r="E17" s="63">
        <f>SUM(E5:E16)</f>
        <v>10068841.864188977</v>
      </c>
      <c r="F17" s="64">
        <f>SUM(F5:F16)</f>
        <v>48838926.693355076</v>
      </c>
      <c r="G17" s="64">
        <f>SUM(G5:G16)</f>
        <v>14387889.704113042</v>
      </c>
      <c r="H17" s="64"/>
      <c r="I17" s="65">
        <f>SUM(I5:I16)</f>
        <v>4287448</v>
      </c>
    </row>
    <row r="18" ht="14.25" thickBot="1">
      <c r="I18" s="22"/>
    </row>
    <row r="19" spans="1:9" ht="14.25" thickBot="1">
      <c r="A19" s="1880" t="s">
        <v>58</v>
      </c>
      <c r="B19" s="1881"/>
      <c r="C19" s="1881"/>
      <c r="D19" s="1881"/>
      <c r="E19" s="1881"/>
      <c r="F19" s="1881"/>
      <c r="G19" s="1881"/>
      <c r="H19" s="1881"/>
      <c r="I19" s="1882"/>
    </row>
    <row r="20" spans="1:9" ht="12.75" customHeight="1">
      <c r="A20" s="1883" t="s">
        <v>137</v>
      </c>
      <c r="B20" s="36" t="s">
        <v>790</v>
      </c>
      <c r="C20" s="36" t="s">
        <v>59</v>
      </c>
      <c r="D20" s="1885" t="s">
        <v>60</v>
      </c>
      <c r="E20" s="1885" t="s">
        <v>61</v>
      </c>
      <c r="F20" s="1885" t="s">
        <v>4</v>
      </c>
      <c r="G20" s="1885" t="s">
        <v>63</v>
      </c>
      <c r="H20" s="1885" t="s">
        <v>94</v>
      </c>
      <c r="I20" s="1887" t="s">
        <v>95</v>
      </c>
    </row>
    <row r="21" spans="1:9" ht="25.5" customHeight="1" thickBot="1">
      <c r="A21" s="1884"/>
      <c r="B21" s="37"/>
      <c r="C21" s="657"/>
      <c r="D21" s="1886"/>
      <c r="E21" s="1886"/>
      <c r="F21" s="1886"/>
      <c r="G21" s="1886"/>
      <c r="H21" s="1886"/>
      <c r="I21" s="1888"/>
    </row>
    <row r="22" spans="1:9" ht="14.25" thickBot="1">
      <c r="A22" s="38"/>
      <c r="B22" s="39">
        <v>71406046.56636499</v>
      </c>
      <c r="C22" s="40">
        <v>2</v>
      </c>
      <c r="D22" s="40">
        <v>5</v>
      </c>
      <c r="E22" s="40">
        <v>7</v>
      </c>
      <c r="F22" s="40" t="s">
        <v>8</v>
      </c>
      <c r="G22" s="40" t="s">
        <v>9</v>
      </c>
      <c r="H22" s="40" t="s">
        <v>10</v>
      </c>
      <c r="I22" s="41" t="s">
        <v>11</v>
      </c>
    </row>
    <row r="23" spans="1:9" ht="13.5">
      <c r="A23" s="42" t="s">
        <v>12</v>
      </c>
      <c r="B23" s="43">
        <f aca="true" t="shared" si="4" ref="B23:B34">B22+H23</f>
        <v>71336668.66702488</v>
      </c>
      <c r="C23" s="44">
        <v>5549210.592729999</v>
      </c>
      <c r="D23" s="53">
        <v>58385.00092999999</v>
      </c>
      <c r="E23" s="45">
        <v>5560203.491140099</v>
      </c>
      <c r="F23" s="47">
        <f aca="true" t="shared" si="5" ref="F23:F34">D23+E23</f>
        <v>5618588.492070099</v>
      </c>
      <c r="G23" s="47">
        <f aca="true" t="shared" si="6" ref="G23:G34">C23-D23</f>
        <v>5490825.591799999</v>
      </c>
      <c r="H23" s="47">
        <f aca="true" t="shared" si="7" ref="H23:H34">C23-D23-E23-I23</f>
        <v>-69377.89934010059</v>
      </c>
      <c r="I23" s="48">
        <v>0</v>
      </c>
    </row>
    <row r="24" spans="1:9" ht="13.5">
      <c r="A24" s="49" t="s">
        <v>13</v>
      </c>
      <c r="B24" s="50">
        <f t="shared" si="4"/>
        <v>70243443.93716477</v>
      </c>
      <c r="C24" s="51">
        <v>5593063.936949987</v>
      </c>
      <c r="D24" s="53">
        <v>4241483.669489999</v>
      </c>
      <c r="E24" s="52">
        <v>2444804.9973201016</v>
      </c>
      <c r="F24" s="47">
        <f t="shared" si="5"/>
        <v>6686288.666810101</v>
      </c>
      <c r="G24" s="47">
        <f t="shared" si="6"/>
        <v>1351580.2674599877</v>
      </c>
      <c r="H24" s="47">
        <f t="shared" si="7"/>
        <v>-1093224.729860114</v>
      </c>
      <c r="I24" s="48">
        <v>0</v>
      </c>
    </row>
    <row r="25" spans="1:10" ht="13.5">
      <c r="A25" s="49" t="s">
        <v>14</v>
      </c>
      <c r="B25" s="50">
        <f t="shared" si="4"/>
        <v>70034144.42388457</v>
      </c>
      <c r="C25" s="51">
        <v>5588150.455479998</v>
      </c>
      <c r="D25" s="53">
        <v>4663802.309450102</v>
      </c>
      <c r="E25" s="51">
        <v>1133647.6593100978</v>
      </c>
      <c r="F25" s="47">
        <f t="shared" si="5"/>
        <v>5797449.9687602</v>
      </c>
      <c r="G25" s="47">
        <f t="shared" si="6"/>
        <v>924348.1460298961</v>
      </c>
      <c r="H25" s="47">
        <f t="shared" si="7"/>
        <v>-209299.5132802017</v>
      </c>
      <c r="I25" s="48">
        <v>0</v>
      </c>
      <c r="J25" s="66"/>
    </row>
    <row r="26" spans="1:10" ht="13.5">
      <c r="A26" s="49" t="s">
        <v>15</v>
      </c>
      <c r="B26" s="50">
        <f t="shared" si="4"/>
        <v>68812915.82928456</v>
      </c>
      <c r="C26" s="53">
        <v>4953074.227019997</v>
      </c>
      <c r="D26" s="53">
        <v>4470297.973289901</v>
      </c>
      <c r="E26" s="53">
        <v>366899.848330101</v>
      </c>
      <c r="F26" s="47">
        <f t="shared" si="5"/>
        <v>4837197.821620002</v>
      </c>
      <c r="G26" s="47">
        <f t="shared" si="6"/>
        <v>482776.2537300959</v>
      </c>
      <c r="H26" s="47">
        <f t="shared" si="7"/>
        <v>-1221228.594600005</v>
      </c>
      <c r="I26" s="48">
        <v>1337105</v>
      </c>
      <c r="J26" s="66"/>
    </row>
    <row r="27" spans="1:10" ht="13.5">
      <c r="A27" s="49" t="s">
        <v>16</v>
      </c>
      <c r="B27" s="50">
        <f t="shared" si="4"/>
        <v>66868972.40563457</v>
      </c>
      <c r="C27" s="53">
        <v>4521836.78847</v>
      </c>
      <c r="D27" s="53">
        <v>4234873.353169899</v>
      </c>
      <c r="E27" s="53">
        <v>504755.85895010084</v>
      </c>
      <c r="F27" s="47">
        <f t="shared" si="5"/>
        <v>4739629.21212</v>
      </c>
      <c r="G27" s="47">
        <f t="shared" si="6"/>
        <v>286963.4353001006</v>
      </c>
      <c r="H27" s="47">
        <f t="shared" si="7"/>
        <v>-1943943.4236500002</v>
      </c>
      <c r="I27" s="48">
        <v>1726151</v>
      </c>
      <c r="J27" s="66"/>
    </row>
    <row r="28" spans="1:10" ht="13.5">
      <c r="A28" s="49" t="s">
        <v>17</v>
      </c>
      <c r="B28" s="50">
        <f t="shared" si="4"/>
        <v>67098219.211287014</v>
      </c>
      <c r="C28" s="53">
        <v>4691929.96283</v>
      </c>
      <c r="D28" s="53">
        <v>4081633.1676949523</v>
      </c>
      <c r="E28" s="53">
        <v>309419.98948260024</v>
      </c>
      <c r="F28" s="47">
        <f t="shared" si="5"/>
        <v>4391053.157177553</v>
      </c>
      <c r="G28" s="47">
        <f t="shared" si="6"/>
        <v>610296.7951350473</v>
      </c>
      <c r="H28" s="47">
        <f t="shared" si="7"/>
        <v>229246.80565244704</v>
      </c>
      <c r="I28" s="48">
        <v>71630</v>
      </c>
      <c r="J28" s="66"/>
    </row>
    <row r="29" spans="1:9" ht="13.5">
      <c r="A29" s="49" t="s">
        <v>18</v>
      </c>
      <c r="B29" s="50">
        <f t="shared" si="4"/>
        <v>67547042.87710693</v>
      </c>
      <c r="C29" s="55">
        <v>5258699.637480013</v>
      </c>
      <c r="D29" s="53">
        <v>4246166.758959901</v>
      </c>
      <c r="E29" s="55">
        <v>372576.2127001975</v>
      </c>
      <c r="F29" s="47">
        <f t="shared" si="5"/>
        <v>4618742.971660098</v>
      </c>
      <c r="G29" s="47">
        <f t="shared" si="6"/>
        <v>1012532.8785201125</v>
      </c>
      <c r="H29" s="47">
        <f t="shared" si="7"/>
        <v>448823.665819915</v>
      </c>
      <c r="I29" s="48">
        <v>191133</v>
      </c>
    </row>
    <row r="30" spans="1:9" ht="13.5">
      <c r="A30" s="49" t="s">
        <v>19</v>
      </c>
      <c r="B30" s="50">
        <f t="shared" si="4"/>
        <v>67611751.38323694</v>
      </c>
      <c r="C30" s="51">
        <v>5241968.412349999</v>
      </c>
      <c r="D30" s="53">
        <v>4481963.964329995</v>
      </c>
      <c r="E30" s="51">
        <v>354382.9418900013</v>
      </c>
      <c r="F30" s="47">
        <f t="shared" si="5"/>
        <v>4836346.9062199965</v>
      </c>
      <c r="G30" s="47">
        <f t="shared" si="6"/>
        <v>760004.4480200037</v>
      </c>
      <c r="H30" s="47">
        <f t="shared" si="7"/>
        <v>64708.50613000244</v>
      </c>
      <c r="I30" s="48">
        <v>340913</v>
      </c>
    </row>
    <row r="31" spans="1:9" ht="13.5">
      <c r="A31" s="49" t="s">
        <v>20</v>
      </c>
      <c r="B31" s="50">
        <f t="shared" si="4"/>
        <v>67453477.77553694</v>
      </c>
      <c r="C31" s="51">
        <v>4835021.7628799975</v>
      </c>
      <c r="D31" s="53">
        <v>4700033.113959808</v>
      </c>
      <c r="E31" s="51">
        <v>293262.2566201985</v>
      </c>
      <c r="F31" s="47">
        <f t="shared" si="5"/>
        <v>4993295.370580006</v>
      </c>
      <c r="G31" s="47">
        <f t="shared" si="6"/>
        <v>134988.6489201896</v>
      </c>
      <c r="H31" s="47">
        <f t="shared" si="7"/>
        <v>-158273.6077000089</v>
      </c>
      <c r="I31" s="48">
        <v>0</v>
      </c>
    </row>
    <row r="32" spans="1:9" ht="13.5">
      <c r="A32" s="57" t="s">
        <v>21</v>
      </c>
      <c r="B32" s="50">
        <f t="shared" si="4"/>
        <v>67286789.26889685</v>
      </c>
      <c r="C32" s="58">
        <v>4683923.810600005</v>
      </c>
      <c r="D32" s="53">
        <v>4541794.301029898</v>
      </c>
      <c r="E32" s="53">
        <v>308818.0162102021</v>
      </c>
      <c r="F32" s="47">
        <f t="shared" si="5"/>
        <v>4850612.3172401</v>
      </c>
      <c r="G32" s="47">
        <f t="shared" si="6"/>
        <v>142129.50957010686</v>
      </c>
      <c r="H32" s="47">
        <f t="shared" si="7"/>
        <v>-166688.50664009526</v>
      </c>
      <c r="I32" s="48">
        <v>0</v>
      </c>
    </row>
    <row r="33" spans="1:9" ht="13.5">
      <c r="A33" s="49" t="s">
        <v>22</v>
      </c>
      <c r="B33" s="50">
        <f t="shared" si="4"/>
        <v>67959634.13763686</v>
      </c>
      <c r="C33" s="59">
        <v>4991543.020860001</v>
      </c>
      <c r="D33" s="53">
        <v>4020207.853789896</v>
      </c>
      <c r="E33" s="59">
        <v>298490.29833010025</v>
      </c>
      <c r="F33" s="47">
        <f t="shared" si="5"/>
        <v>4318698.152119996</v>
      </c>
      <c r="G33" s="47">
        <f t="shared" si="6"/>
        <v>971335.1670701057</v>
      </c>
      <c r="H33" s="47">
        <f t="shared" si="7"/>
        <v>672844.8687400054</v>
      </c>
      <c r="I33" s="48">
        <v>0</v>
      </c>
    </row>
    <row r="34" spans="1:9" ht="13.5">
      <c r="A34" s="49" t="s">
        <v>23</v>
      </c>
      <c r="B34" s="50">
        <f t="shared" si="4"/>
        <v>68803188.81433684</v>
      </c>
      <c r="C34" s="47">
        <v>5872242.521609992</v>
      </c>
      <c r="D34" s="53">
        <v>4750947.74767001</v>
      </c>
      <c r="E34" s="47">
        <v>277740.0972399991</v>
      </c>
      <c r="F34" s="47">
        <f t="shared" si="5"/>
        <v>5028687.844910009</v>
      </c>
      <c r="G34" s="47">
        <f t="shared" si="6"/>
        <v>1121294.773939982</v>
      </c>
      <c r="H34" s="47">
        <f t="shared" si="7"/>
        <v>843554.676699983</v>
      </c>
      <c r="I34" s="48">
        <v>0</v>
      </c>
    </row>
    <row r="35" spans="1:9" ht="14.25" thickBot="1">
      <c r="A35" s="61" t="s">
        <v>24</v>
      </c>
      <c r="B35" s="62"/>
      <c r="C35" s="63">
        <f>SUM(C23:C34)</f>
        <v>61780665.12925999</v>
      </c>
      <c r="D35" s="63">
        <f>SUM(D23:D34)</f>
        <v>48491589.21376436</v>
      </c>
      <c r="E35" s="63">
        <f>SUM(E23:E34)</f>
        <v>12225001.6675238</v>
      </c>
      <c r="F35" s="64">
        <f>SUM(F23:F34)</f>
        <v>60716590.88128817</v>
      </c>
      <c r="G35" s="64">
        <f>SUM(G23:G34)</f>
        <v>13289075.915495627</v>
      </c>
      <c r="H35" s="64"/>
      <c r="I35" s="67">
        <f>SUM(I23:I34)</f>
        <v>3666932</v>
      </c>
    </row>
    <row r="36" ht="14.25" thickBot="1"/>
    <row r="37" spans="1:9" ht="14.25" thickBot="1">
      <c r="A37" s="1880" t="s">
        <v>130</v>
      </c>
      <c r="B37" s="1881"/>
      <c r="C37" s="1881"/>
      <c r="D37" s="1881"/>
      <c r="E37" s="1881"/>
      <c r="F37" s="1881"/>
      <c r="G37" s="1881"/>
      <c r="H37" s="1881"/>
      <c r="I37" s="1882"/>
    </row>
    <row r="38" spans="1:9" ht="12.75" customHeight="1">
      <c r="A38" s="1883" t="s">
        <v>128</v>
      </c>
      <c r="B38" s="36" t="s">
        <v>790</v>
      </c>
      <c r="C38" s="36" t="s">
        <v>131</v>
      </c>
      <c r="D38" s="1885" t="s">
        <v>132</v>
      </c>
      <c r="E38" s="1885" t="s">
        <v>133</v>
      </c>
      <c r="F38" s="1885" t="s">
        <v>4</v>
      </c>
      <c r="G38" s="1885" t="s">
        <v>134</v>
      </c>
      <c r="H38" s="1885" t="s">
        <v>136</v>
      </c>
      <c r="I38" s="1887" t="s">
        <v>95</v>
      </c>
    </row>
    <row r="39" spans="1:9" ht="22.5" customHeight="1" thickBot="1">
      <c r="A39" s="1884"/>
      <c r="B39" s="37"/>
      <c r="C39" s="657"/>
      <c r="D39" s="1886"/>
      <c r="E39" s="1886"/>
      <c r="F39" s="1886"/>
      <c r="G39" s="1886"/>
      <c r="H39" s="1886"/>
      <c r="I39" s="1888"/>
    </row>
    <row r="40" spans="1:9" ht="13.5">
      <c r="A40" s="68"/>
      <c r="B40" s="69">
        <v>68803188.81433684</v>
      </c>
      <c r="C40" s="40">
        <v>2</v>
      </c>
      <c r="D40" s="40">
        <v>5</v>
      </c>
      <c r="E40" s="40">
        <v>7</v>
      </c>
      <c r="F40" s="40" t="s">
        <v>8</v>
      </c>
      <c r="G40" s="40" t="s">
        <v>9</v>
      </c>
      <c r="H40" s="40"/>
      <c r="I40" s="70" t="s">
        <v>135</v>
      </c>
    </row>
    <row r="41" spans="1:9" ht="13.5">
      <c r="A41" s="71" t="s">
        <v>12</v>
      </c>
      <c r="B41" s="72">
        <v>69383531.72499685</v>
      </c>
      <c r="C41" s="73">
        <v>5987971.312970001</v>
      </c>
      <c r="D41" s="73">
        <v>11009.646589899998</v>
      </c>
      <c r="E41" s="73">
        <v>5396618.755720091</v>
      </c>
      <c r="F41" s="6">
        <v>5407628.402309991</v>
      </c>
      <c r="G41" s="6">
        <v>5976961.666380101</v>
      </c>
      <c r="H41" s="6">
        <v>580342.9106600098</v>
      </c>
      <c r="I41" s="10">
        <v>0</v>
      </c>
    </row>
    <row r="42" spans="1:9" ht="13.5">
      <c r="A42" s="71" t="s">
        <v>13</v>
      </c>
      <c r="B42" s="7">
        <v>69618270.72022682</v>
      </c>
      <c r="C42" s="74">
        <v>5445503.357909981</v>
      </c>
      <c r="D42" s="74">
        <v>3744679.5188201</v>
      </c>
      <c r="E42" s="74">
        <v>1455075.1972700043</v>
      </c>
      <c r="F42" s="6">
        <v>5199754.716090105</v>
      </c>
      <c r="G42" s="6">
        <v>1700823.8390898812</v>
      </c>
      <c r="H42" s="75">
        <v>234738.9952299744</v>
      </c>
      <c r="I42" s="10">
        <v>0</v>
      </c>
    </row>
    <row r="43" spans="1:9" ht="13.5">
      <c r="A43" s="71" t="s">
        <v>14</v>
      </c>
      <c r="B43" s="7">
        <v>69927157.87537643</v>
      </c>
      <c r="C43" s="74">
        <v>5513517.361650001</v>
      </c>
      <c r="D43" s="74">
        <v>4673435.382739901</v>
      </c>
      <c r="E43" s="74">
        <v>531194.8237604918</v>
      </c>
      <c r="F43" s="6">
        <v>5204630.206500392</v>
      </c>
      <c r="G43" s="6">
        <v>840081.9789101006</v>
      </c>
      <c r="H43" s="6">
        <v>308887.15514960885</v>
      </c>
      <c r="I43" s="10">
        <v>0</v>
      </c>
    </row>
    <row r="44" spans="1:9" ht="13.5">
      <c r="A44" s="71" t="s">
        <v>15</v>
      </c>
      <c r="B44" s="7">
        <v>69788726.68981642</v>
      </c>
      <c r="C44" s="74">
        <v>4826976.948789991</v>
      </c>
      <c r="D44" s="74">
        <v>4641557.01726</v>
      </c>
      <c r="E44" s="74">
        <v>323851.1170900017</v>
      </c>
      <c r="F44" s="6">
        <v>4965408.134350002</v>
      </c>
      <c r="G44" s="6">
        <v>185419.93152999133</v>
      </c>
      <c r="H44" s="6">
        <v>-138431.18556001037</v>
      </c>
      <c r="I44" s="10">
        <v>0</v>
      </c>
    </row>
    <row r="45" spans="1:9" ht="13.5">
      <c r="A45" s="71" t="s">
        <v>16</v>
      </c>
      <c r="B45" s="7">
        <v>67042794.89981842</v>
      </c>
      <c r="C45" s="76">
        <v>4835732.5724</v>
      </c>
      <c r="D45" s="76">
        <v>4504255.918199999</v>
      </c>
      <c r="E45" s="76">
        <v>276918.4381799996</v>
      </c>
      <c r="F45" s="6">
        <v>4781174.356379999</v>
      </c>
      <c r="G45" s="6">
        <v>331476.6542000007</v>
      </c>
      <c r="H45" s="6">
        <v>-2745931.789997992</v>
      </c>
      <c r="I45" s="11">
        <v>2800490.006017993</v>
      </c>
    </row>
    <row r="46" spans="1:9" ht="13.5">
      <c r="A46" s="71" t="s">
        <v>17</v>
      </c>
      <c r="B46" s="7">
        <v>67501588.89502832</v>
      </c>
      <c r="C46" s="76">
        <v>4525727.568155799</v>
      </c>
      <c r="D46" s="76">
        <v>4203846.834470004</v>
      </c>
      <c r="E46" s="76">
        <v>245815.91147009935</v>
      </c>
      <c r="F46" s="6">
        <v>4449662.745940103</v>
      </c>
      <c r="G46" s="6">
        <v>321880.7336857952</v>
      </c>
      <c r="H46" s="75">
        <v>458793.9952098951</v>
      </c>
      <c r="I46" s="10">
        <v>0</v>
      </c>
    </row>
    <row r="47" spans="1:9" ht="13.5">
      <c r="A47" s="71" t="s">
        <v>18</v>
      </c>
      <c r="B47" s="7">
        <v>68121672.62983823</v>
      </c>
      <c r="C47" s="76">
        <v>5241459.140150007</v>
      </c>
      <c r="D47" s="76">
        <v>4390082.664159596</v>
      </c>
      <c r="E47" s="76">
        <v>231292.74118050374</v>
      </c>
      <c r="F47" s="6">
        <v>4621375.4053401</v>
      </c>
      <c r="G47" s="6">
        <v>851376.4759904109</v>
      </c>
      <c r="H47" s="6">
        <v>620083.7348099072</v>
      </c>
      <c r="I47" s="10">
        <v>0</v>
      </c>
    </row>
    <row r="48" spans="1:9" ht="13.5">
      <c r="A48" s="71" t="s">
        <v>19</v>
      </c>
      <c r="B48" s="7">
        <v>68364411.62983823</v>
      </c>
      <c r="C48" s="77">
        <v>5309834</v>
      </c>
      <c r="D48" s="77">
        <v>4799986</v>
      </c>
      <c r="E48" s="77">
        <v>267109</v>
      </c>
      <c r="F48" s="6">
        <v>5067095</v>
      </c>
      <c r="G48" s="6">
        <v>509848</v>
      </c>
      <c r="H48" s="6">
        <v>242739</v>
      </c>
      <c r="I48" s="10">
        <v>0</v>
      </c>
    </row>
    <row r="49" spans="1:9" ht="13.5">
      <c r="A49" s="71" t="s">
        <v>20</v>
      </c>
      <c r="B49" s="7">
        <f>B48+H49</f>
        <v>68350353.92341766</v>
      </c>
      <c r="C49" s="78">
        <v>4844483.426959999</v>
      </c>
      <c r="D49" s="78">
        <v>4650850.65815999</v>
      </c>
      <c r="E49" s="78">
        <v>207690.4752205871</v>
      </c>
      <c r="F49" s="6">
        <f>SUM(D49:E49)</f>
        <v>4858541.133380577</v>
      </c>
      <c r="G49" s="6">
        <f>C49-D49</f>
        <v>193632.76880000904</v>
      </c>
      <c r="H49" s="6">
        <f>C49-D49-E49-I49</f>
        <v>-14057.706420578063</v>
      </c>
      <c r="I49" s="10">
        <v>0</v>
      </c>
    </row>
    <row r="50" spans="1:9" ht="13.5">
      <c r="A50" s="57" t="s">
        <v>21</v>
      </c>
      <c r="B50" s="7">
        <f>B49+H50</f>
        <v>68499704.51267765</v>
      </c>
      <c r="C50" s="78">
        <v>4834628.379879996</v>
      </c>
      <c r="D50" s="78">
        <v>4480376.67261</v>
      </c>
      <c r="E50" s="78">
        <v>204901.1180099994</v>
      </c>
      <c r="F50" s="6">
        <f>SUM(D50:E50)</f>
        <v>4685277.790619999</v>
      </c>
      <c r="G50" s="6">
        <f>C50-D50</f>
        <v>354251.7072699964</v>
      </c>
      <c r="H50" s="6">
        <f>C50-D50-E50-I50</f>
        <v>149350.589259997</v>
      </c>
      <c r="I50" s="10">
        <v>0</v>
      </c>
    </row>
    <row r="51" spans="1:9" ht="13.5">
      <c r="A51" s="71" t="s">
        <v>22</v>
      </c>
      <c r="B51" s="7">
        <f>B50+H51</f>
        <v>69372495.59410754</v>
      </c>
      <c r="C51" s="78">
        <v>5236378.09954001</v>
      </c>
      <c r="D51" s="78">
        <v>4175054.1816300154</v>
      </c>
      <c r="E51" s="78">
        <v>188532.83648010343</v>
      </c>
      <c r="F51" s="6">
        <f>SUM(D51:E51)</f>
        <v>4363587.018110119</v>
      </c>
      <c r="G51" s="6">
        <f>C51-D51</f>
        <v>1061323.9179099947</v>
      </c>
      <c r="H51" s="6">
        <f>C51-D51-E51-I51</f>
        <v>872791.0814298913</v>
      </c>
      <c r="I51" s="10">
        <v>0</v>
      </c>
    </row>
    <row r="52" spans="1:9" ht="13.5">
      <c r="A52" s="71" t="s">
        <v>23</v>
      </c>
      <c r="B52" s="7">
        <f>B51+H52</f>
        <v>70720060.91074753</v>
      </c>
      <c r="C52" s="78">
        <v>6410680.965950005</v>
      </c>
      <c r="D52" s="78">
        <v>4854704.939520009</v>
      </c>
      <c r="E52" s="78">
        <v>208410.7097900007</v>
      </c>
      <c r="F52" s="6">
        <f>SUM(D52:E52)</f>
        <v>5063115.64931001</v>
      </c>
      <c r="G52" s="6">
        <f>C52-D52</f>
        <v>1555976.026429996</v>
      </c>
      <c r="H52" s="6">
        <f>C52-D52-E52-I52</f>
        <v>1347565.3166399952</v>
      </c>
      <c r="I52" s="10">
        <v>0</v>
      </c>
    </row>
    <row r="53" spans="1:9" ht="14.25" thickBot="1">
      <c r="A53" s="79" t="s">
        <v>24</v>
      </c>
      <c r="B53" s="12"/>
      <c r="C53" s="13">
        <f>SUM(C41:C52)</f>
        <v>63012893.13435579</v>
      </c>
      <c r="D53" s="13">
        <f>SUM(D41:D52)</f>
        <v>49129839.43415951</v>
      </c>
      <c r="E53" s="13">
        <f>SUM(E41:E52)</f>
        <v>9537411.124171881</v>
      </c>
      <c r="F53" s="13">
        <f>SUM(F41:F52)</f>
        <v>58667250.55833139</v>
      </c>
      <c r="G53" s="13">
        <f>SUM(G41:G52)</f>
        <v>13883053.700196275</v>
      </c>
      <c r="H53" s="13"/>
      <c r="I53" s="14">
        <f>SUM(I41:I52)</f>
        <v>2800490.006017993</v>
      </c>
    </row>
    <row r="54" ht="14.25" thickBot="1"/>
    <row r="55" spans="1:9" ht="14.25" thickBot="1">
      <c r="A55" s="1880" t="s">
        <v>396</v>
      </c>
      <c r="B55" s="1881"/>
      <c r="C55" s="1881"/>
      <c r="D55" s="1881"/>
      <c r="E55" s="1881"/>
      <c r="F55" s="1881"/>
      <c r="G55" s="1881"/>
      <c r="H55" s="1881"/>
      <c r="I55" s="1882"/>
    </row>
    <row r="56" spans="1:9" ht="12.75" customHeight="1">
      <c r="A56" s="1883" t="s">
        <v>404</v>
      </c>
      <c r="B56" s="36" t="s">
        <v>790</v>
      </c>
      <c r="C56" s="36" t="s">
        <v>397</v>
      </c>
      <c r="D56" s="1885" t="s">
        <v>398</v>
      </c>
      <c r="E56" s="1885" t="s">
        <v>399</v>
      </c>
      <c r="F56" s="1885" t="s">
        <v>4</v>
      </c>
      <c r="G56" s="1885" t="s">
        <v>400</v>
      </c>
      <c r="H56" s="1885" t="s">
        <v>401</v>
      </c>
      <c r="I56" s="1887" t="s">
        <v>95</v>
      </c>
    </row>
    <row r="57" spans="1:9" ht="24.75" customHeight="1" thickBot="1">
      <c r="A57" s="1884"/>
      <c r="B57" s="37"/>
      <c r="C57" s="657"/>
      <c r="D57" s="1886"/>
      <c r="E57" s="1886"/>
      <c r="F57" s="1886"/>
      <c r="G57" s="1886"/>
      <c r="H57" s="1886"/>
      <c r="I57" s="1888"/>
    </row>
    <row r="58" spans="1:9" ht="13.5">
      <c r="A58" s="68"/>
      <c r="B58" s="69">
        <f>B52</f>
        <v>70720060.91074753</v>
      </c>
      <c r="C58" s="40">
        <v>2</v>
      </c>
      <c r="D58" s="40">
        <v>5</v>
      </c>
      <c r="E58" s="40">
        <v>7</v>
      </c>
      <c r="F58" s="40" t="s">
        <v>8</v>
      </c>
      <c r="G58" s="40" t="s">
        <v>9</v>
      </c>
      <c r="H58" s="40"/>
      <c r="I58" s="70"/>
    </row>
    <row r="59" spans="1:9" ht="13.5">
      <c r="A59" s="71" t="s">
        <v>12</v>
      </c>
      <c r="B59" s="72">
        <f aca="true" t="shared" si="8" ref="B59:B70">B58+H59</f>
        <v>71449570.91074753</v>
      </c>
      <c r="C59" s="73">
        <v>6192711</v>
      </c>
      <c r="D59" s="73">
        <v>2680</v>
      </c>
      <c r="E59" s="73">
        <v>5460521</v>
      </c>
      <c r="F59" s="6">
        <f>D59+E59</f>
        <v>5463201</v>
      </c>
      <c r="G59" s="6">
        <f>C59-D59</f>
        <v>6190031</v>
      </c>
      <c r="H59" s="6">
        <f>C59-D59-E59</f>
        <v>729510</v>
      </c>
      <c r="I59" s="18">
        <v>0</v>
      </c>
    </row>
    <row r="60" spans="1:9" ht="13.5">
      <c r="A60" s="71" t="s">
        <v>13</v>
      </c>
      <c r="B60" s="7">
        <f t="shared" si="8"/>
        <v>71348178.91074753</v>
      </c>
      <c r="C60" s="74">
        <v>5323527</v>
      </c>
      <c r="D60" s="74">
        <v>3823606</v>
      </c>
      <c r="E60" s="74">
        <v>1601313</v>
      </c>
      <c r="F60" s="6">
        <f aca="true" t="shared" si="9" ref="F60:F70">D60+E60</f>
        <v>5424919</v>
      </c>
      <c r="G60" s="6">
        <f aca="true" t="shared" si="10" ref="G60:G70">C60-D60</f>
        <v>1499921</v>
      </c>
      <c r="H60" s="6">
        <f aca="true" t="shared" si="11" ref="H60:H66">C60-D60-E60</f>
        <v>-101392</v>
      </c>
      <c r="I60" s="18">
        <v>0</v>
      </c>
    </row>
    <row r="61" spans="1:9" ht="13.5">
      <c r="A61" s="71" t="s">
        <v>14</v>
      </c>
      <c r="B61" s="7">
        <f t="shared" si="8"/>
        <v>70863991.91074753</v>
      </c>
      <c r="C61" s="74">
        <v>5141318</v>
      </c>
      <c r="D61" s="74">
        <v>4963971</v>
      </c>
      <c r="E61" s="74">
        <v>661534</v>
      </c>
      <c r="F61" s="6">
        <f t="shared" si="9"/>
        <v>5625505</v>
      </c>
      <c r="G61" s="6">
        <f t="shared" si="10"/>
        <v>177347</v>
      </c>
      <c r="H61" s="6">
        <f t="shared" si="11"/>
        <v>-484187</v>
      </c>
      <c r="I61" s="18">
        <v>0</v>
      </c>
    </row>
    <row r="62" spans="1:9" ht="13.5">
      <c r="A62" s="71" t="s">
        <v>15</v>
      </c>
      <c r="B62" s="7">
        <f t="shared" si="8"/>
        <v>70863941.91074753</v>
      </c>
      <c r="C62" s="74">
        <v>4857464</v>
      </c>
      <c r="D62" s="74">
        <v>4525615</v>
      </c>
      <c r="E62" s="74">
        <v>331899</v>
      </c>
      <c r="F62" s="6">
        <f t="shared" si="9"/>
        <v>4857514</v>
      </c>
      <c r="G62" s="6">
        <f t="shared" si="10"/>
        <v>331849</v>
      </c>
      <c r="H62" s="6">
        <f t="shared" si="11"/>
        <v>-50</v>
      </c>
      <c r="I62" s="18">
        <v>0</v>
      </c>
    </row>
    <row r="63" spans="1:9" ht="13.5">
      <c r="A63" s="71" t="s">
        <v>16</v>
      </c>
      <c r="B63" s="7">
        <f t="shared" si="8"/>
        <v>70398535.11593704</v>
      </c>
      <c r="C63" s="21">
        <v>4667810.036059998</v>
      </c>
      <c r="D63" s="21">
        <v>4599520.093959903</v>
      </c>
      <c r="E63" s="21">
        <v>533696.7369105835</v>
      </c>
      <c r="F63" s="6">
        <f t="shared" si="9"/>
        <v>5133216.830870487</v>
      </c>
      <c r="G63" s="6">
        <f t="shared" si="10"/>
        <v>68289.94210009463</v>
      </c>
      <c r="H63" s="6">
        <f t="shared" si="11"/>
        <v>-465406.7948104888</v>
      </c>
      <c r="I63" s="11">
        <v>0</v>
      </c>
    </row>
    <row r="64" spans="1:9" ht="13.5">
      <c r="A64" s="71" t="s">
        <v>17</v>
      </c>
      <c r="B64" s="7">
        <f t="shared" si="8"/>
        <v>70787602.88719696</v>
      </c>
      <c r="C64" s="21">
        <v>4675924.262030002</v>
      </c>
      <c r="D64" s="21">
        <v>4055719.9667598903</v>
      </c>
      <c r="E64" s="21">
        <v>231136.52401019633</v>
      </c>
      <c r="F64" s="6">
        <f t="shared" si="9"/>
        <v>4286856.490770087</v>
      </c>
      <c r="G64" s="6">
        <f t="shared" si="10"/>
        <v>620204.2952701114</v>
      </c>
      <c r="H64" s="6">
        <f t="shared" si="11"/>
        <v>389067.7712599151</v>
      </c>
      <c r="I64" s="18">
        <v>0</v>
      </c>
    </row>
    <row r="65" spans="1:9" ht="13.5">
      <c r="A65" s="71" t="s">
        <v>18</v>
      </c>
      <c r="B65" s="7">
        <f t="shared" si="8"/>
        <v>71320867.86652696</v>
      </c>
      <c r="C65" s="21">
        <v>5435008.841620002</v>
      </c>
      <c r="D65" s="21">
        <v>4599634.036219921</v>
      </c>
      <c r="E65" s="21">
        <v>302109.8260700796</v>
      </c>
      <c r="F65" s="6">
        <f t="shared" si="9"/>
        <v>4901743.862290001</v>
      </c>
      <c r="G65" s="6">
        <f t="shared" si="10"/>
        <v>835374.805400081</v>
      </c>
      <c r="H65" s="6">
        <f t="shared" si="11"/>
        <v>533264.9793300014</v>
      </c>
      <c r="I65" s="18">
        <v>0</v>
      </c>
    </row>
    <row r="66" spans="1:9" ht="13.5">
      <c r="A66" s="71" t="s">
        <v>19</v>
      </c>
      <c r="B66" s="7">
        <f t="shared" si="8"/>
        <v>71661545.7176169</v>
      </c>
      <c r="C66" s="21">
        <v>5635938.716029994</v>
      </c>
      <c r="D66" s="21">
        <v>4996202.674489994</v>
      </c>
      <c r="E66" s="21">
        <v>299058.19045006484</v>
      </c>
      <c r="F66" s="6">
        <f t="shared" si="9"/>
        <v>5295260.864940058</v>
      </c>
      <c r="G66" s="6">
        <f t="shared" si="10"/>
        <v>639736.0415400006</v>
      </c>
      <c r="H66" s="6">
        <f t="shared" si="11"/>
        <v>340677.85108993575</v>
      </c>
      <c r="I66" s="18">
        <v>0</v>
      </c>
    </row>
    <row r="67" spans="1:9" ht="13.5">
      <c r="A67" s="71" t="s">
        <v>20</v>
      </c>
      <c r="B67" s="7">
        <f t="shared" si="8"/>
        <v>71152685.70336694</v>
      </c>
      <c r="C67" s="21">
        <v>4824463.076109998</v>
      </c>
      <c r="D67" s="21">
        <v>5046488.936659977</v>
      </c>
      <c r="E67" s="21">
        <v>286834.1536999885</v>
      </c>
      <c r="F67" s="6">
        <f t="shared" si="9"/>
        <v>5333323.090359965</v>
      </c>
      <c r="G67" s="6">
        <f t="shared" si="10"/>
        <v>-222025.8605499789</v>
      </c>
      <c r="H67" s="6">
        <f>C67-D67-E67</f>
        <v>-508860.0142499674</v>
      </c>
      <c r="I67" s="18">
        <v>0</v>
      </c>
    </row>
    <row r="68" spans="1:9" ht="13.5">
      <c r="A68" s="57" t="s">
        <v>21</v>
      </c>
      <c r="B68" s="7">
        <f t="shared" si="8"/>
        <v>71047596.7485969</v>
      </c>
      <c r="C68" s="78">
        <v>4902444.562090002</v>
      </c>
      <c r="D68" s="78">
        <v>4759610.2527300045</v>
      </c>
      <c r="E68" s="78">
        <v>247923.2641300205</v>
      </c>
      <c r="F68" s="6">
        <f t="shared" si="9"/>
        <v>5007533.516860025</v>
      </c>
      <c r="G68" s="6">
        <f t="shared" si="10"/>
        <v>142834.3093599975</v>
      </c>
      <c r="H68" s="6">
        <f>C68-D68-E68</f>
        <v>-105088.954770023</v>
      </c>
      <c r="I68" s="18">
        <v>0</v>
      </c>
    </row>
    <row r="69" spans="1:9" ht="13.5">
      <c r="A69" s="71" t="s">
        <v>22</v>
      </c>
      <c r="B69" s="7">
        <f t="shared" si="8"/>
        <v>72031523.96202676</v>
      </c>
      <c r="C69" s="21">
        <v>5527305.941639997</v>
      </c>
      <c r="D69" s="78">
        <v>4313656.505710036</v>
      </c>
      <c r="E69" s="78">
        <v>229722.22250011377</v>
      </c>
      <c r="F69" s="6">
        <f t="shared" si="9"/>
        <v>4543378.728210149</v>
      </c>
      <c r="G69" s="6">
        <f t="shared" si="10"/>
        <v>1213649.4359299615</v>
      </c>
      <c r="H69" s="6">
        <f>C69-D69-E69</f>
        <v>983927.2134298477</v>
      </c>
      <c r="I69" s="18">
        <v>0</v>
      </c>
    </row>
    <row r="70" spans="1:9" ht="13.5">
      <c r="A70" s="71" t="s">
        <v>23</v>
      </c>
      <c r="B70" s="7">
        <f t="shared" si="8"/>
        <v>72848682.33574103</v>
      </c>
      <c r="C70" s="21">
        <v>6347228.675714515</v>
      </c>
      <c r="D70" s="78">
        <v>5153618.082769848</v>
      </c>
      <c r="E70" s="78">
        <v>376452.2192304041</v>
      </c>
      <c r="F70" s="6">
        <f t="shared" si="9"/>
        <v>5530070.3020002525</v>
      </c>
      <c r="G70" s="6">
        <f t="shared" si="10"/>
        <v>1193610.5929446667</v>
      </c>
      <c r="H70" s="6">
        <f>C70-D70-E70</f>
        <v>817158.3737142626</v>
      </c>
      <c r="I70" s="18">
        <v>0</v>
      </c>
    </row>
    <row r="71" spans="1:9" ht="14.25" thickBot="1">
      <c r="A71" s="79" t="s">
        <v>24</v>
      </c>
      <c r="B71" s="12"/>
      <c r="C71" s="13"/>
      <c r="D71" s="13"/>
      <c r="E71" s="13"/>
      <c r="F71" s="13"/>
      <c r="G71" s="13"/>
      <c r="H71" s="13"/>
      <c r="I71" s="14"/>
    </row>
    <row r="72" ht="14.25" thickBot="1"/>
    <row r="73" spans="1:9" ht="14.25" thickBot="1">
      <c r="A73" s="1880" t="s">
        <v>535</v>
      </c>
      <c r="B73" s="1881"/>
      <c r="C73" s="1881"/>
      <c r="D73" s="1881"/>
      <c r="E73" s="1881"/>
      <c r="F73" s="1881"/>
      <c r="G73" s="1881"/>
      <c r="H73" s="1881"/>
      <c r="I73" s="1882"/>
    </row>
    <row r="74" spans="1:9" ht="12.75" customHeight="1">
      <c r="A74" s="1883" t="s">
        <v>536</v>
      </c>
      <c r="B74" s="36" t="s">
        <v>790</v>
      </c>
      <c r="C74" s="36" t="s">
        <v>537</v>
      </c>
      <c r="D74" s="1885" t="s">
        <v>538</v>
      </c>
      <c r="E74" s="1885" t="s">
        <v>539</v>
      </c>
      <c r="F74" s="1885" t="s">
        <v>4</v>
      </c>
      <c r="G74" s="1885" t="s">
        <v>540</v>
      </c>
      <c r="H74" s="1885" t="s">
        <v>542</v>
      </c>
      <c r="I74" s="1887" t="s">
        <v>95</v>
      </c>
    </row>
    <row r="75" spans="1:9" ht="14.25" thickBot="1">
      <c r="A75" s="1884"/>
      <c r="B75" s="37"/>
      <c r="C75" s="657"/>
      <c r="D75" s="1886"/>
      <c r="E75" s="1886"/>
      <c r="F75" s="1886"/>
      <c r="G75" s="1886"/>
      <c r="H75" s="1886"/>
      <c r="I75" s="1888"/>
    </row>
    <row r="76" spans="1:9" ht="13.5">
      <c r="A76" s="68"/>
      <c r="B76" s="69">
        <f>B70</f>
        <v>72848682.33574103</v>
      </c>
      <c r="C76" s="40">
        <v>2</v>
      </c>
      <c r="D76" s="40">
        <v>5</v>
      </c>
      <c r="E76" s="40">
        <v>7</v>
      </c>
      <c r="F76" s="40" t="s">
        <v>8</v>
      </c>
      <c r="G76" s="40" t="s">
        <v>9</v>
      </c>
      <c r="H76" s="127"/>
      <c r="I76" s="70"/>
    </row>
    <row r="77" spans="1:9" ht="13.5">
      <c r="A77" s="71" t="s">
        <v>12</v>
      </c>
      <c r="B77" s="72">
        <f aca="true" t="shared" si="12" ref="B77:B88">B76+H77</f>
        <v>72669803.46571882</v>
      </c>
      <c r="C77" s="73">
        <v>5939299</v>
      </c>
      <c r="D77" s="159">
        <v>62279.98545150002</v>
      </c>
      <c r="E77" s="159">
        <v>6055897.884570702</v>
      </c>
      <c r="F77" s="6">
        <f>D77+E77</f>
        <v>6118177.870022202</v>
      </c>
      <c r="G77" s="6">
        <f>C77-D77</f>
        <v>5877019.0145485</v>
      </c>
      <c r="H77" s="6">
        <f>C77-D77-E77</f>
        <v>-178878.8700222019</v>
      </c>
      <c r="I77" s="18">
        <v>0</v>
      </c>
    </row>
    <row r="78" spans="1:9" ht="13.5">
      <c r="A78" s="71" t="s">
        <v>13</v>
      </c>
      <c r="B78" s="7">
        <f t="shared" si="12"/>
        <v>72671708.85132071</v>
      </c>
      <c r="C78" s="74">
        <v>5685334</v>
      </c>
      <c r="D78" s="160">
        <v>3857605.4998838976</v>
      </c>
      <c r="E78" s="160">
        <v>1825823.1145142103</v>
      </c>
      <c r="F78" s="6">
        <f aca="true" t="shared" si="13" ref="F78:F88">D78+E78</f>
        <v>5683428.614398108</v>
      </c>
      <c r="G78" s="6">
        <f aca="true" t="shared" si="14" ref="G78:G88">C78-D78</f>
        <v>1827728.5001161024</v>
      </c>
      <c r="H78" s="6">
        <f aca="true" t="shared" si="15" ref="H78:H84">C78-D78-E78</f>
        <v>1905.385601892136</v>
      </c>
      <c r="I78" s="18">
        <v>0</v>
      </c>
    </row>
    <row r="79" spans="1:9" ht="13.5">
      <c r="A79" s="71" t="s">
        <v>14</v>
      </c>
      <c r="B79" s="7">
        <f t="shared" si="12"/>
        <v>72336005.18089971</v>
      </c>
      <c r="C79" s="74">
        <v>5680352</v>
      </c>
      <c r="D79" s="160">
        <v>5325170.566489375</v>
      </c>
      <c r="E79" s="160">
        <v>690885.1039316263</v>
      </c>
      <c r="F79" s="6">
        <f t="shared" si="13"/>
        <v>6016055.6704210015</v>
      </c>
      <c r="G79" s="6">
        <f t="shared" si="14"/>
        <v>355181.4335106248</v>
      </c>
      <c r="H79" s="6">
        <f t="shared" si="15"/>
        <v>-335703.6704210015</v>
      </c>
      <c r="I79" s="18">
        <v>0</v>
      </c>
    </row>
    <row r="80" spans="1:9" ht="13.5">
      <c r="A80" s="71" t="s">
        <v>15</v>
      </c>
      <c r="B80" s="7">
        <f t="shared" si="12"/>
        <v>71388405.3967026</v>
      </c>
      <c r="C80" s="74">
        <v>4671224</v>
      </c>
      <c r="D80" s="160">
        <v>5191293.837168107</v>
      </c>
      <c r="E80" s="160">
        <v>427529.94702900015</v>
      </c>
      <c r="F80" s="6">
        <f t="shared" si="13"/>
        <v>5618823.784197107</v>
      </c>
      <c r="G80" s="6">
        <f t="shared" si="14"/>
        <v>-520069.8371681068</v>
      </c>
      <c r="H80" s="6">
        <f t="shared" si="15"/>
        <v>-947599.784197107</v>
      </c>
      <c r="I80" s="18">
        <v>0</v>
      </c>
    </row>
    <row r="81" spans="1:9" ht="13.5">
      <c r="A81" s="71" t="s">
        <v>16</v>
      </c>
      <c r="B81" s="7">
        <f t="shared" si="12"/>
        <v>70904608.87252662</v>
      </c>
      <c r="C81" s="136">
        <v>4731173.185304005</v>
      </c>
      <c r="D81" s="160">
        <v>4839352.320045892</v>
      </c>
      <c r="E81" s="160">
        <v>375617.38943409733</v>
      </c>
      <c r="F81" s="6">
        <f t="shared" si="13"/>
        <v>5214969.7094799895</v>
      </c>
      <c r="G81" s="6">
        <f t="shared" si="14"/>
        <v>-108179.13474188745</v>
      </c>
      <c r="H81" s="6">
        <f t="shared" si="15"/>
        <v>-483796.5241759848</v>
      </c>
      <c r="I81" s="11">
        <v>0</v>
      </c>
    </row>
    <row r="82" spans="1:9" ht="13.5">
      <c r="A82" s="71" t="s">
        <v>17</v>
      </c>
      <c r="B82" s="7">
        <f t="shared" si="12"/>
        <v>71142033.4672825</v>
      </c>
      <c r="C82" s="137">
        <v>4976161.389462002</v>
      </c>
      <c r="D82" s="160">
        <v>4395221.106935907</v>
      </c>
      <c r="E82" s="160">
        <v>343515.6877702009</v>
      </c>
      <c r="F82" s="6">
        <f t="shared" si="13"/>
        <v>4738736.794706108</v>
      </c>
      <c r="G82" s="6">
        <f t="shared" si="14"/>
        <v>580940.2825260945</v>
      </c>
      <c r="H82" s="6">
        <f t="shared" si="15"/>
        <v>237424.59475589357</v>
      </c>
      <c r="I82" s="18">
        <v>0</v>
      </c>
    </row>
    <row r="83" spans="1:9" ht="13.5">
      <c r="A83" s="71" t="s">
        <v>18</v>
      </c>
      <c r="B83" s="7">
        <f t="shared" si="12"/>
        <v>71320916.5338735</v>
      </c>
      <c r="C83" s="21">
        <v>5403874</v>
      </c>
      <c r="D83" s="160">
        <v>4895796.091531001</v>
      </c>
      <c r="E83" s="160">
        <v>329194.84187800065</v>
      </c>
      <c r="F83" s="6">
        <f t="shared" si="13"/>
        <v>5224990.933409002</v>
      </c>
      <c r="G83" s="6">
        <f t="shared" si="14"/>
        <v>508077.90846899897</v>
      </c>
      <c r="H83" s="6">
        <f t="shared" si="15"/>
        <v>178883.06659099832</v>
      </c>
      <c r="I83" s="18">
        <v>0</v>
      </c>
    </row>
    <row r="84" spans="1:9" ht="13.5">
      <c r="A84" s="71" t="s">
        <v>19</v>
      </c>
      <c r="B84" s="7">
        <f t="shared" si="12"/>
        <v>71608055.3492425</v>
      </c>
      <c r="C84" s="21">
        <v>5805751</v>
      </c>
      <c r="D84" s="160">
        <v>5141751.279686708</v>
      </c>
      <c r="E84" s="160">
        <v>376860.90494430065</v>
      </c>
      <c r="F84" s="6">
        <f t="shared" si="13"/>
        <v>5518612.184631009</v>
      </c>
      <c r="G84" s="6">
        <f t="shared" si="14"/>
        <v>663999.720313292</v>
      </c>
      <c r="H84" s="6">
        <f t="shared" si="15"/>
        <v>287138.81536899135</v>
      </c>
      <c r="I84" s="18">
        <v>0</v>
      </c>
    </row>
    <row r="85" spans="1:9" ht="14.25">
      <c r="A85" s="71" t="s">
        <v>20</v>
      </c>
      <c r="B85" s="7">
        <f t="shared" si="12"/>
        <v>71254994.7610525</v>
      </c>
      <c r="C85" s="145">
        <v>5047858.637590013</v>
      </c>
      <c r="D85" s="160">
        <v>5088650.13461981</v>
      </c>
      <c r="E85" s="160">
        <v>312269.0911601987</v>
      </c>
      <c r="F85" s="6">
        <f t="shared" si="13"/>
        <v>5400919.225780008</v>
      </c>
      <c r="G85" s="6">
        <f t="shared" si="14"/>
        <v>-40791.49702979624</v>
      </c>
      <c r="H85" s="6">
        <f>C85-D85-E85</f>
        <v>-353060.5881899949</v>
      </c>
      <c r="I85" s="18">
        <v>0</v>
      </c>
    </row>
    <row r="86" spans="1:9" ht="14.25">
      <c r="A86" s="57" t="s">
        <v>21</v>
      </c>
      <c r="B86" s="7">
        <f t="shared" si="12"/>
        <v>70741012.3335613</v>
      </c>
      <c r="C86" s="145">
        <v>4975892.920060784</v>
      </c>
      <c r="D86" s="160">
        <v>5162026.40206518</v>
      </c>
      <c r="E86" s="160">
        <v>327848.94548680447</v>
      </c>
      <c r="F86" s="6">
        <f t="shared" si="13"/>
        <v>5489875.347551985</v>
      </c>
      <c r="G86" s="6">
        <f t="shared" si="14"/>
        <v>-186133.48200439662</v>
      </c>
      <c r="H86" s="6">
        <f>C86-D86-E86</f>
        <v>-513982.4274912011</v>
      </c>
      <c r="I86" s="18">
        <v>0</v>
      </c>
    </row>
    <row r="87" spans="1:9" ht="14.25">
      <c r="A87" s="71" t="s">
        <v>22</v>
      </c>
      <c r="B87" s="7">
        <f t="shared" si="12"/>
        <v>71270659.2010233</v>
      </c>
      <c r="C87" s="145">
        <v>5318349.985685006</v>
      </c>
      <c r="D87" s="160">
        <v>4317123.567731716</v>
      </c>
      <c r="E87" s="160">
        <v>471579.5504912995</v>
      </c>
      <c r="F87" s="6">
        <f t="shared" si="13"/>
        <v>4788703.118223015</v>
      </c>
      <c r="G87" s="6">
        <f t="shared" si="14"/>
        <v>1001226.41795329</v>
      </c>
      <c r="H87" s="6">
        <f>C87-D87-E87</f>
        <v>529646.8674619906</v>
      </c>
      <c r="I87" s="18">
        <v>0</v>
      </c>
    </row>
    <row r="88" spans="1:9" ht="14.25">
      <c r="A88" s="71" t="s">
        <v>23</v>
      </c>
      <c r="B88" s="7">
        <f t="shared" si="12"/>
        <v>71896707.2500006</v>
      </c>
      <c r="C88" s="145">
        <v>6625288.898327999</v>
      </c>
      <c r="D88" s="160">
        <v>5579121.216014706</v>
      </c>
      <c r="E88" s="160">
        <v>420119.63333600014</v>
      </c>
      <c r="F88" s="6">
        <f t="shared" si="13"/>
        <v>5999240.849350706</v>
      </c>
      <c r="G88" s="6">
        <f t="shared" si="14"/>
        <v>1046167.6823132932</v>
      </c>
      <c r="H88" s="6">
        <f>C88-D88-E88</f>
        <v>626048.0489772931</v>
      </c>
      <c r="I88" s="18">
        <v>0</v>
      </c>
    </row>
    <row r="89" spans="1:9" ht="14.25" thickBot="1">
      <c r="A89" s="79" t="s">
        <v>24</v>
      </c>
      <c r="B89" s="12"/>
      <c r="C89" s="13"/>
      <c r="D89" s="13"/>
      <c r="E89" s="13"/>
      <c r="F89" s="13"/>
      <c r="G89" s="13"/>
      <c r="H89" s="13"/>
      <c r="I89" s="14"/>
    </row>
    <row r="91" spans="8:9" ht="14.25" thickBot="1">
      <c r="H91" s="239"/>
      <c r="I91" s="240"/>
    </row>
    <row r="92" spans="1:9" ht="14.25" thickBot="1">
      <c r="A92" s="1880" t="s">
        <v>641</v>
      </c>
      <c r="B92" s="1881"/>
      <c r="C92" s="1881"/>
      <c r="D92" s="1881"/>
      <c r="E92" s="1881"/>
      <c r="F92" s="1881"/>
      <c r="G92" s="1881"/>
      <c r="H92" s="1881"/>
      <c r="I92" s="1882"/>
    </row>
    <row r="93" spans="1:9" ht="12.75" customHeight="1">
      <c r="A93" s="1883" t="s">
        <v>642</v>
      </c>
      <c r="B93" s="36" t="s">
        <v>790</v>
      </c>
      <c r="C93" s="36" t="s">
        <v>643</v>
      </c>
      <c r="D93" s="1885" t="s">
        <v>644</v>
      </c>
      <c r="E93" s="1885" t="s">
        <v>645</v>
      </c>
      <c r="F93" s="1885" t="s">
        <v>4</v>
      </c>
      <c r="G93" s="1885" t="s">
        <v>646</v>
      </c>
      <c r="H93" s="1885" t="s">
        <v>647</v>
      </c>
      <c r="I93" s="1887" t="s">
        <v>95</v>
      </c>
    </row>
    <row r="94" spans="1:9" ht="14.25" thickBot="1">
      <c r="A94" s="1884"/>
      <c r="B94" s="37"/>
      <c r="C94" s="657"/>
      <c r="D94" s="1886"/>
      <c r="E94" s="1886"/>
      <c r="F94" s="1886"/>
      <c r="G94" s="1886"/>
      <c r="H94" s="1886"/>
      <c r="I94" s="1888"/>
    </row>
    <row r="95" spans="1:9" ht="13.5">
      <c r="A95" s="68"/>
      <c r="B95" s="7">
        <v>71896707.2500006</v>
      </c>
      <c r="C95" s="40">
        <v>2</v>
      </c>
      <c r="D95" s="40">
        <v>5</v>
      </c>
      <c r="E95" s="40">
        <v>7</v>
      </c>
      <c r="F95" s="40" t="s">
        <v>8</v>
      </c>
      <c r="G95" s="40" t="s">
        <v>9</v>
      </c>
      <c r="H95" s="127"/>
      <c r="I95" s="70"/>
    </row>
    <row r="96" spans="1:9" ht="13.5">
      <c r="A96" s="71" t="s">
        <v>12</v>
      </c>
      <c r="B96" s="72">
        <f aca="true" t="shared" si="16" ref="B96:B107">B95+H96</f>
        <v>72594758.33128847</v>
      </c>
      <c r="C96" s="242">
        <v>6710113.958630001</v>
      </c>
      <c r="D96" s="243">
        <v>11907.652759999994</v>
      </c>
      <c r="E96" s="242">
        <v>6000155.224582119</v>
      </c>
      <c r="F96" s="6">
        <f>D96+E96</f>
        <v>6012062.877342119</v>
      </c>
      <c r="G96" s="6">
        <f>C96-D96</f>
        <v>6698206.305870001</v>
      </c>
      <c r="H96" s="6">
        <f>C96-D96-E96</f>
        <v>698051.0812878823</v>
      </c>
      <c r="I96" s="18">
        <v>0</v>
      </c>
    </row>
    <row r="97" spans="1:9" ht="13.5">
      <c r="A97" s="71" t="s">
        <v>13</v>
      </c>
      <c r="B97" s="7">
        <f t="shared" si="16"/>
        <v>72200340.08438846</v>
      </c>
      <c r="C97" s="242">
        <v>5819929.301357998</v>
      </c>
      <c r="D97" s="242">
        <v>4371736.329499996</v>
      </c>
      <c r="E97" s="242">
        <v>1842611.2187580029</v>
      </c>
      <c r="F97" s="6">
        <f aca="true" t="shared" si="17" ref="F97:F107">D97+E97</f>
        <v>6214347.548257999</v>
      </c>
      <c r="G97" s="6">
        <f aca="true" t="shared" si="18" ref="G97:G107">C97-D97</f>
        <v>1448192.9718580013</v>
      </c>
      <c r="H97" s="6">
        <f aca="true" t="shared" si="19" ref="H97:H103">C97-D97-E97</f>
        <v>-394418.24690000154</v>
      </c>
      <c r="I97" s="18">
        <v>0</v>
      </c>
    </row>
    <row r="98" spans="1:9" ht="13.5">
      <c r="A98" s="71" t="s">
        <v>14</v>
      </c>
      <c r="B98" s="7">
        <f t="shared" si="16"/>
        <v>71887839.99447367</v>
      </c>
      <c r="C98" s="242">
        <v>5496920.219824001</v>
      </c>
      <c r="D98" s="243">
        <v>5066375.560702</v>
      </c>
      <c r="E98" s="243">
        <v>743044.749036801</v>
      </c>
      <c r="F98" s="6">
        <f t="shared" si="17"/>
        <v>5809420.309738801</v>
      </c>
      <c r="G98" s="6">
        <f t="shared" si="18"/>
        <v>430544.6591220014</v>
      </c>
      <c r="H98" s="6">
        <f t="shared" si="19"/>
        <v>-312500.08991479967</v>
      </c>
      <c r="I98" s="18">
        <v>0</v>
      </c>
    </row>
    <row r="99" spans="1:9" ht="13.5">
      <c r="A99" s="71" t="s">
        <v>15</v>
      </c>
      <c r="B99" s="7">
        <f t="shared" si="16"/>
        <v>71416559.12919478</v>
      </c>
      <c r="C99" s="242">
        <v>5155721.926522002</v>
      </c>
      <c r="D99" s="242">
        <v>5183085.572853988</v>
      </c>
      <c r="E99" s="243">
        <v>443917.2189469021</v>
      </c>
      <c r="F99" s="6">
        <f t="shared" si="17"/>
        <v>5627002.79180089</v>
      </c>
      <c r="G99" s="6">
        <f t="shared" si="18"/>
        <v>-27363.646331986412</v>
      </c>
      <c r="H99" s="6">
        <f t="shared" si="19"/>
        <v>-471280.8652788885</v>
      </c>
      <c r="I99" s="18">
        <v>0</v>
      </c>
    </row>
    <row r="100" spans="1:9" ht="13.5">
      <c r="A100" s="71" t="s">
        <v>16</v>
      </c>
      <c r="B100" s="7">
        <f t="shared" si="16"/>
        <v>71210144.12919478</v>
      </c>
      <c r="C100" s="295">
        <v>5075626</v>
      </c>
      <c r="D100" s="296">
        <v>4909283</v>
      </c>
      <c r="E100" s="296">
        <v>372758</v>
      </c>
      <c r="F100" s="6">
        <f t="shared" si="17"/>
        <v>5282041</v>
      </c>
      <c r="G100" s="6">
        <f t="shared" si="18"/>
        <v>166343</v>
      </c>
      <c r="H100" s="6">
        <f t="shared" si="19"/>
        <v>-206415</v>
      </c>
      <c r="I100" s="11">
        <v>0</v>
      </c>
    </row>
    <row r="101" spans="1:9" ht="13.5">
      <c r="A101" s="71" t="s">
        <v>17</v>
      </c>
      <c r="B101" s="7">
        <f t="shared" si="16"/>
        <v>71763430.12919478</v>
      </c>
      <c r="C101" s="242">
        <v>5324553</v>
      </c>
      <c r="D101" s="296">
        <v>4464984</v>
      </c>
      <c r="E101" s="296">
        <v>306283</v>
      </c>
      <c r="F101" s="6">
        <f t="shared" si="17"/>
        <v>4771267</v>
      </c>
      <c r="G101" s="6">
        <f t="shared" si="18"/>
        <v>859569</v>
      </c>
      <c r="H101" s="6">
        <f t="shared" si="19"/>
        <v>553286</v>
      </c>
      <c r="I101" s="18">
        <v>0</v>
      </c>
    </row>
    <row r="102" spans="1:9" ht="13.5">
      <c r="A102" s="71" t="s">
        <v>18</v>
      </c>
      <c r="B102" s="7">
        <f t="shared" si="16"/>
        <v>71886698.12919478</v>
      </c>
      <c r="C102" s="242">
        <v>5684531</v>
      </c>
      <c r="D102" s="296">
        <v>5061596</v>
      </c>
      <c r="E102" s="296">
        <v>499667</v>
      </c>
      <c r="F102" s="6">
        <f t="shared" si="17"/>
        <v>5561263</v>
      </c>
      <c r="G102" s="6">
        <f t="shared" si="18"/>
        <v>622935</v>
      </c>
      <c r="H102" s="6">
        <f t="shared" si="19"/>
        <v>123268</v>
      </c>
      <c r="I102" s="18">
        <v>0</v>
      </c>
    </row>
    <row r="103" spans="1:9" ht="13.5">
      <c r="A103" s="71" t="s">
        <v>19</v>
      </c>
      <c r="B103" s="7">
        <f t="shared" si="16"/>
        <v>72343495.92688687</v>
      </c>
      <c r="C103" s="53">
        <v>6100923.543437995</v>
      </c>
      <c r="D103" s="53">
        <v>5315416.579272006</v>
      </c>
      <c r="E103" s="53">
        <v>328709.16647389904</v>
      </c>
      <c r="F103" s="6">
        <f t="shared" si="17"/>
        <v>5644125.745745905</v>
      </c>
      <c r="G103" s="6">
        <f t="shared" si="18"/>
        <v>785506.9641659893</v>
      </c>
      <c r="H103" s="6">
        <f t="shared" si="19"/>
        <v>456797.7976920903</v>
      </c>
      <c r="I103" s="18">
        <v>0</v>
      </c>
    </row>
    <row r="104" spans="1:9" ht="13.5">
      <c r="A104" s="71" t="s">
        <v>20</v>
      </c>
      <c r="B104" s="7">
        <f t="shared" si="16"/>
        <v>71822037.58360189</v>
      </c>
      <c r="C104" s="297">
        <v>5207416.855498001</v>
      </c>
      <c r="D104" s="297">
        <v>5446624.785749987</v>
      </c>
      <c r="E104" s="297">
        <v>282250.4130330011</v>
      </c>
      <c r="F104" s="6">
        <f t="shared" si="17"/>
        <v>5728875.198782988</v>
      </c>
      <c r="G104" s="6">
        <f t="shared" si="18"/>
        <v>-239207.9302519858</v>
      </c>
      <c r="H104" s="6">
        <f>C104-D104-E104</f>
        <v>-521458.3432849869</v>
      </c>
      <c r="I104" s="18">
        <v>0</v>
      </c>
    </row>
    <row r="105" spans="1:9" ht="13.5">
      <c r="A105" s="57" t="s">
        <v>21</v>
      </c>
      <c r="B105" s="7">
        <f t="shared" si="16"/>
        <v>71361842.58360189</v>
      </c>
      <c r="C105" s="298">
        <v>4992973</v>
      </c>
      <c r="D105" s="299">
        <v>5051814</v>
      </c>
      <c r="E105" s="298">
        <v>401354</v>
      </c>
      <c r="F105" s="6">
        <f>C105+E105</f>
        <v>5394327</v>
      </c>
      <c r="G105" s="6">
        <f t="shared" si="18"/>
        <v>-58841</v>
      </c>
      <c r="H105" s="6">
        <f>C105-D105-E105</f>
        <v>-460195</v>
      </c>
      <c r="I105" s="18">
        <v>0</v>
      </c>
    </row>
    <row r="106" spans="1:9" ht="13.5">
      <c r="A106" s="71" t="s">
        <v>22</v>
      </c>
      <c r="B106" s="7">
        <f t="shared" si="16"/>
        <v>72178115.71391508</v>
      </c>
      <c r="C106" s="242">
        <v>5292443.364</v>
      </c>
      <c r="D106" s="242">
        <v>4247863.320460007</v>
      </c>
      <c r="E106" s="243">
        <v>228306.9132268019</v>
      </c>
      <c r="F106" s="6">
        <f t="shared" si="17"/>
        <v>4476170.2336868085</v>
      </c>
      <c r="G106" s="6">
        <f t="shared" si="18"/>
        <v>1044580.0435399935</v>
      </c>
      <c r="H106" s="6">
        <f>C106-D106-E106</f>
        <v>816273.1303131916</v>
      </c>
      <c r="I106" s="18">
        <v>0</v>
      </c>
    </row>
    <row r="107" spans="1:9" ht="13.5">
      <c r="A107" s="71" t="s">
        <v>23</v>
      </c>
      <c r="B107" s="7">
        <f t="shared" si="16"/>
        <v>72573674.91165009</v>
      </c>
      <c r="C107" s="295">
        <v>6251767.335000008</v>
      </c>
      <c r="D107" s="295">
        <v>5518117.911774002</v>
      </c>
      <c r="E107" s="295">
        <v>338090.2254909985</v>
      </c>
      <c r="F107" s="6">
        <f t="shared" si="17"/>
        <v>5856208.1372650005</v>
      </c>
      <c r="G107" s="6">
        <f t="shared" si="18"/>
        <v>733649.4232260063</v>
      </c>
      <c r="H107" s="6">
        <f>C107-D107-E107</f>
        <v>395559.19773500785</v>
      </c>
      <c r="I107" s="18">
        <v>0</v>
      </c>
    </row>
    <row r="108" spans="1:9" ht="14.25" thickBot="1">
      <c r="A108" s="79" t="s">
        <v>24</v>
      </c>
      <c r="B108" s="12"/>
      <c r="C108" s="13"/>
      <c r="D108" s="13"/>
      <c r="E108" s="13"/>
      <c r="F108" s="13"/>
      <c r="G108" s="13"/>
      <c r="H108" s="13"/>
      <c r="I108" s="14"/>
    </row>
    <row r="110" ht="14.25" thickBot="1"/>
    <row r="111" spans="1:9" ht="14.25" thickBot="1">
      <c r="A111" s="1880" t="s">
        <v>729</v>
      </c>
      <c r="B111" s="1881"/>
      <c r="C111" s="1881"/>
      <c r="D111" s="1881"/>
      <c r="E111" s="1881"/>
      <c r="F111" s="1881"/>
      <c r="G111" s="1881"/>
      <c r="H111" s="1881"/>
      <c r="I111" s="1882"/>
    </row>
    <row r="112" spans="1:9" ht="12.75" customHeight="1">
      <c r="A112" s="1883" t="s">
        <v>731</v>
      </c>
      <c r="B112" s="36" t="s">
        <v>790</v>
      </c>
      <c r="C112" s="36" t="s">
        <v>965</v>
      </c>
      <c r="D112" s="1885" t="s">
        <v>966</v>
      </c>
      <c r="E112" s="1885" t="s">
        <v>967</v>
      </c>
      <c r="F112" s="1885" t="s">
        <v>4</v>
      </c>
      <c r="G112" s="1885" t="s">
        <v>968</v>
      </c>
      <c r="H112" s="1885" t="s">
        <v>969</v>
      </c>
      <c r="I112" s="1887" t="s">
        <v>95</v>
      </c>
    </row>
    <row r="113" spans="1:9" ht="14.25" thickBot="1">
      <c r="A113" s="1884"/>
      <c r="B113" s="37"/>
      <c r="C113" s="657"/>
      <c r="D113" s="1886"/>
      <c r="E113" s="1886"/>
      <c r="F113" s="1886"/>
      <c r="G113" s="1886"/>
      <c r="H113" s="1886"/>
      <c r="I113" s="1888"/>
    </row>
    <row r="114" spans="1:9" ht="13.5">
      <c r="A114" s="68"/>
      <c r="B114" s="7">
        <v>72573657</v>
      </c>
      <c r="C114" s="40">
        <v>2</v>
      </c>
      <c r="D114" s="40">
        <v>5</v>
      </c>
      <c r="E114" s="40">
        <v>7</v>
      </c>
      <c r="F114" s="40" t="s">
        <v>8</v>
      </c>
      <c r="G114" s="40" t="s">
        <v>9</v>
      </c>
      <c r="H114" s="127"/>
      <c r="I114" s="70"/>
    </row>
    <row r="115" spans="1:9" ht="13.5">
      <c r="A115" s="71" t="s">
        <v>12</v>
      </c>
      <c r="B115" s="72">
        <f aca="true" t="shared" si="20" ref="B115:B126">B114+H115</f>
        <v>73370006.045706</v>
      </c>
      <c r="C115" s="75">
        <v>6508770.433</v>
      </c>
      <c r="D115" s="75">
        <v>16408.51188400001</v>
      </c>
      <c r="E115" s="75">
        <v>5696012.875409991</v>
      </c>
      <c r="F115" s="6">
        <f>D115+E115</f>
        <v>5712421.387293991</v>
      </c>
      <c r="G115" s="6">
        <f>C115-D115</f>
        <v>6492361.921116</v>
      </c>
      <c r="H115" s="6">
        <f>C115-D115-E115</f>
        <v>796349.0457060095</v>
      </c>
      <c r="I115" s="18">
        <v>0</v>
      </c>
    </row>
    <row r="116" spans="1:9" ht="13.5">
      <c r="A116" s="71" t="s">
        <v>13</v>
      </c>
      <c r="B116" s="7">
        <f t="shared" si="20"/>
        <v>73517038.790296</v>
      </c>
      <c r="C116" s="74">
        <v>6106516.390999999</v>
      </c>
      <c r="D116" s="312">
        <v>4215767.2899360005</v>
      </c>
      <c r="E116" s="312">
        <v>1743716.3564740056</v>
      </c>
      <c r="F116" s="6">
        <f aca="true" t="shared" si="21" ref="F116:F123">D116+E116</f>
        <v>5959483.646410006</v>
      </c>
      <c r="G116" s="6">
        <f aca="true" t="shared" si="22" ref="G116:G126">C116-D116</f>
        <v>1890749.1010639984</v>
      </c>
      <c r="H116" s="6">
        <f aca="true" t="shared" si="23" ref="H116:H122">C116-D116-E116</f>
        <v>147032.7445899928</v>
      </c>
      <c r="I116" s="18">
        <v>0</v>
      </c>
    </row>
    <row r="117" spans="1:9" ht="13.5">
      <c r="A117" s="71" t="s">
        <v>14</v>
      </c>
      <c r="B117" s="7">
        <f t="shared" si="20"/>
        <v>73916688.4810501</v>
      </c>
      <c r="C117" s="74">
        <v>5129481.053000001</v>
      </c>
      <c r="D117" s="74">
        <v>4299340.910564</v>
      </c>
      <c r="E117" s="74">
        <v>430490.45168190077</v>
      </c>
      <c r="F117" s="6">
        <f t="shared" si="21"/>
        <v>4729831.362245901</v>
      </c>
      <c r="G117" s="6">
        <f t="shared" si="22"/>
        <v>830140.1424360014</v>
      </c>
      <c r="H117" s="6">
        <f t="shared" si="23"/>
        <v>399649.6907541007</v>
      </c>
      <c r="I117" s="18">
        <v>0</v>
      </c>
    </row>
    <row r="118" spans="1:9" ht="13.5">
      <c r="A118" s="71" t="s">
        <v>15</v>
      </c>
      <c r="B118" s="7">
        <f t="shared" si="20"/>
        <v>73467700.58865811</v>
      </c>
      <c r="C118" s="74">
        <v>5029218.604000002</v>
      </c>
      <c r="D118" s="312">
        <v>5202265.622893998</v>
      </c>
      <c r="E118" s="312">
        <v>275940.8734979993</v>
      </c>
      <c r="F118" s="6">
        <f t="shared" si="21"/>
        <v>5478206.496391998</v>
      </c>
      <c r="G118" s="6">
        <f t="shared" si="22"/>
        <v>-173047.01889399625</v>
      </c>
      <c r="H118" s="6">
        <f t="shared" si="23"/>
        <v>-448987.8923919955</v>
      </c>
      <c r="I118" s="18">
        <v>0</v>
      </c>
    </row>
    <row r="119" spans="1:9" ht="13.5">
      <c r="A119" s="71" t="s">
        <v>16</v>
      </c>
      <c r="B119" s="7">
        <f t="shared" si="20"/>
        <v>73234253.20207411</v>
      </c>
      <c r="C119" s="496">
        <v>4885187.447999999</v>
      </c>
      <c r="D119" s="497">
        <v>4856458.496524001</v>
      </c>
      <c r="E119" s="497">
        <v>262176.3380600009</v>
      </c>
      <c r="F119" s="6">
        <f t="shared" si="21"/>
        <v>5118634.834584001</v>
      </c>
      <c r="G119" s="6">
        <f t="shared" si="22"/>
        <v>28728.951475998387</v>
      </c>
      <c r="H119" s="6">
        <f t="shared" si="23"/>
        <v>-233447.38658400252</v>
      </c>
      <c r="I119" s="11">
        <v>0</v>
      </c>
    </row>
    <row r="120" spans="1:9" ht="13.5">
      <c r="A120" s="71" t="s">
        <v>17</v>
      </c>
      <c r="B120" s="7">
        <f t="shared" si="20"/>
        <v>73005446.06859002</v>
      </c>
      <c r="C120" s="496">
        <v>4763565.197000001</v>
      </c>
      <c r="D120" s="497">
        <v>4633611.225607999</v>
      </c>
      <c r="E120" s="497">
        <v>358761.1048761029</v>
      </c>
      <c r="F120" s="6">
        <f t="shared" si="21"/>
        <v>4992372.330484102</v>
      </c>
      <c r="G120" s="6">
        <f t="shared" si="22"/>
        <v>129953.97139200196</v>
      </c>
      <c r="H120" s="6">
        <f t="shared" si="23"/>
        <v>-228807.13348410092</v>
      </c>
      <c r="I120" s="18">
        <v>0</v>
      </c>
    </row>
    <row r="121" spans="1:9" ht="13.5">
      <c r="A121" s="71" t="s">
        <v>18</v>
      </c>
      <c r="B121" s="7">
        <f t="shared" si="20"/>
        <v>73865820.14650701</v>
      </c>
      <c r="C121" s="498">
        <v>5588061</v>
      </c>
      <c r="D121" s="499">
        <v>4444693.922083002</v>
      </c>
      <c r="E121" s="499">
        <v>282993</v>
      </c>
      <c r="F121" s="6">
        <f t="shared" si="21"/>
        <v>4727686.922083002</v>
      </c>
      <c r="G121" s="6">
        <f t="shared" si="22"/>
        <v>1143367.0779169984</v>
      </c>
      <c r="H121" s="6">
        <f t="shared" si="23"/>
        <v>860374.0779169984</v>
      </c>
      <c r="I121" s="18">
        <v>0</v>
      </c>
    </row>
    <row r="122" spans="1:9" ht="13.5">
      <c r="A122" s="71" t="s">
        <v>19</v>
      </c>
      <c r="B122" s="7">
        <f t="shared" si="20"/>
        <v>74144785.88645121</v>
      </c>
      <c r="C122" s="498">
        <v>5606759.796000004</v>
      </c>
      <c r="D122" s="499">
        <v>5058891.552501999</v>
      </c>
      <c r="E122" s="499">
        <v>268902.5035537984</v>
      </c>
      <c r="F122" s="6">
        <f t="shared" si="21"/>
        <v>5327794.056055797</v>
      </c>
      <c r="G122" s="6">
        <f t="shared" si="22"/>
        <v>547868.243498005</v>
      </c>
      <c r="H122" s="6">
        <f t="shared" si="23"/>
        <v>278965.73994420655</v>
      </c>
      <c r="I122" s="18">
        <v>0</v>
      </c>
    </row>
    <row r="123" spans="1:9" ht="13.5">
      <c r="A123" s="71" t="s">
        <v>20</v>
      </c>
      <c r="B123" s="7">
        <f t="shared" si="20"/>
        <v>74000808.81501031</v>
      </c>
      <c r="C123" s="500">
        <v>5327559.108999997</v>
      </c>
      <c r="D123" s="500">
        <v>5096601.647550002</v>
      </c>
      <c r="E123" s="500">
        <v>374934.53289089724</v>
      </c>
      <c r="F123" s="6">
        <f t="shared" si="21"/>
        <v>5471536.180440899</v>
      </c>
      <c r="G123" s="6">
        <f t="shared" si="22"/>
        <v>230957.46144999564</v>
      </c>
      <c r="H123" s="6">
        <f>C123-D123-E123</f>
        <v>-143977.0714409016</v>
      </c>
      <c r="I123" s="18">
        <v>0</v>
      </c>
    </row>
    <row r="124" spans="1:9" ht="13.5">
      <c r="A124" s="57" t="s">
        <v>21</v>
      </c>
      <c r="B124" s="7">
        <f t="shared" si="20"/>
        <v>73790738.49105531</v>
      </c>
      <c r="C124" s="500">
        <v>5174313.631999999</v>
      </c>
      <c r="D124" s="500">
        <v>5025381.873100996</v>
      </c>
      <c r="E124" s="500">
        <v>359002.0828540027</v>
      </c>
      <c r="F124" s="6">
        <f>C124+E124</f>
        <v>5533315.714854002</v>
      </c>
      <c r="G124" s="6">
        <f t="shared" si="22"/>
        <v>148931.75889900327</v>
      </c>
      <c r="H124" s="6">
        <f>C124-D124-E124</f>
        <v>-210070.32395499945</v>
      </c>
      <c r="I124" s="18">
        <v>0</v>
      </c>
    </row>
    <row r="125" spans="1:9" ht="13.5">
      <c r="A125" s="71" t="s">
        <v>22</v>
      </c>
      <c r="B125" s="7">
        <f t="shared" si="20"/>
        <v>74671973.8330803</v>
      </c>
      <c r="C125" s="500">
        <v>5615129.237000003</v>
      </c>
      <c r="D125" s="500">
        <v>4483129.530437008</v>
      </c>
      <c r="E125" s="500">
        <v>250764.3645380009</v>
      </c>
      <c r="F125" s="6">
        <f>D125+E125</f>
        <v>4733893.894975008</v>
      </c>
      <c r="G125" s="6">
        <f t="shared" si="22"/>
        <v>1131999.706562996</v>
      </c>
      <c r="H125" s="6">
        <f>C125-D125-E125</f>
        <v>881235.342024995</v>
      </c>
      <c r="I125" s="18">
        <v>0</v>
      </c>
    </row>
    <row r="126" spans="1:9" ht="13.5">
      <c r="A126" s="71" t="s">
        <v>23</v>
      </c>
      <c r="B126" s="7">
        <f t="shared" si="20"/>
        <v>75609638.7417853</v>
      </c>
      <c r="C126" s="500">
        <v>6641070.992999993</v>
      </c>
      <c r="D126" s="500">
        <v>5412844.670286</v>
      </c>
      <c r="E126" s="500">
        <v>290561.41400899924</v>
      </c>
      <c r="F126" s="6">
        <f>D126+E126</f>
        <v>5703406.084294999</v>
      </c>
      <c r="G126" s="6">
        <f t="shared" si="22"/>
        <v>1228226.3227139935</v>
      </c>
      <c r="H126" s="6">
        <f>C126-D126-E126</f>
        <v>937664.9087049942</v>
      </c>
      <c r="I126" s="18">
        <v>0</v>
      </c>
    </row>
    <row r="127" spans="1:9" ht="14.25" thickBot="1">
      <c r="A127" s="79" t="s">
        <v>24</v>
      </c>
      <c r="B127" s="12"/>
      <c r="C127" s="13"/>
      <c r="D127" s="13"/>
      <c r="E127" s="13"/>
      <c r="F127" s="13"/>
      <c r="G127" s="13"/>
      <c r="H127" s="13"/>
      <c r="I127" s="14"/>
    </row>
    <row r="129" ht="14.25" thickBot="1"/>
    <row r="130" spans="1:9" ht="14.25" thickBot="1">
      <c r="A130" s="1880" t="s">
        <v>970</v>
      </c>
      <c r="B130" s="1881"/>
      <c r="C130" s="1881"/>
      <c r="D130" s="1881"/>
      <c r="E130" s="1881"/>
      <c r="F130" s="1881"/>
      <c r="G130" s="1881"/>
      <c r="H130" s="1881"/>
      <c r="I130" s="1882"/>
    </row>
    <row r="131" spans="1:9" ht="12.75" customHeight="1">
      <c r="A131" s="1883" t="s">
        <v>971</v>
      </c>
      <c r="B131" s="36" t="s">
        <v>790</v>
      </c>
      <c r="C131" s="36" t="s">
        <v>972</v>
      </c>
      <c r="D131" s="1885" t="s">
        <v>973</v>
      </c>
      <c r="E131" s="1885" t="s">
        <v>974</v>
      </c>
      <c r="F131" s="1885" t="s">
        <v>4</v>
      </c>
      <c r="G131" s="1885" t="s">
        <v>975</v>
      </c>
      <c r="H131" s="1885" t="s">
        <v>976</v>
      </c>
      <c r="I131" s="1887" t="s">
        <v>95</v>
      </c>
    </row>
    <row r="132" spans="1:9" ht="27" customHeight="1" thickBot="1">
      <c r="A132" s="1884"/>
      <c r="B132" s="37"/>
      <c r="C132" s="657"/>
      <c r="D132" s="1886"/>
      <c r="E132" s="1886"/>
      <c r="F132" s="1886"/>
      <c r="G132" s="1886"/>
      <c r="H132" s="1886"/>
      <c r="I132" s="1888"/>
    </row>
    <row r="133" spans="1:9" ht="13.5">
      <c r="A133" s="68"/>
      <c r="B133" s="7">
        <v>75609638.7417853</v>
      </c>
      <c r="C133" s="40">
        <v>2</v>
      </c>
      <c r="D133" s="40">
        <v>5</v>
      </c>
      <c r="E133" s="40">
        <v>7</v>
      </c>
      <c r="F133" s="40" t="s">
        <v>8</v>
      </c>
      <c r="G133" s="40" t="s">
        <v>9</v>
      </c>
      <c r="H133" s="127"/>
      <c r="I133" s="70"/>
    </row>
    <row r="134" spans="1:9" ht="13.5">
      <c r="A134" s="71" t="s">
        <v>12</v>
      </c>
      <c r="B134" s="72">
        <f aca="true" t="shared" si="24" ref="B134:B145">B133+H134</f>
        <v>76272476.5553483</v>
      </c>
      <c r="C134" s="242">
        <v>6400369.516000001</v>
      </c>
      <c r="D134" s="242">
        <v>19638.543610000008</v>
      </c>
      <c r="E134" s="242">
        <v>5717893.158827004</v>
      </c>
      <c r="F134" s="6">
        <f aca="true" t="shared" si="25" ref="F134:F145">D134+E134</f>
        <v>5737531.702437004</v>
      </c>
      <c r="G134" s="6">
        <f aca="true" t="shared" si="26" ref="G134:G145">C134-D134</f>
        <v>6380730.972390001</v>
      </c>
      <c r="H134" s="6">
        <f aca="true" t="shared" si="27" ref="H134:H145">C134-D134-E134</f>
        <v>662837.8135629967</v>
      </c>
      <c r="I134" s="18">
        <v>0</v>
      </c>
    </row>
    <row r="135" spans="1:9" ht="13.5">
      <c r="A135" s="71" t="s">
        <v>13</v>
      </c>
      <c r="B135" s="7">
        <f t="shared" si="24"/>
        <v>76826390.91386831</v>
      </c>
      <c r="C135" s="242">
        <v>6245452.753289999</v>
      </c>
      <c r="D135" s="242">
        <v>3770254.2731239987</v>
      </c>
      <c r="E135" s="242">
        <v>1921284.121646</v>
      </c>
      <c r="F135" s="6">
        <f t="shared" si="25"/>
        <v>5691538.394769998</v>
      </c>
      <c r="G135" s="6">
        <f t="shared" si="26"/>
        <v>2475198.480166001</v>
      </c>
      <c r="H135" s="6">
        <f t="shared" si="27"/>
        <v>553914.3585200007</v>
      </c>
      <c r="I135" s="18">
        <v>0</v>
      </c>
    </row>
    <row r="136" spans="1:9" ht="13.5">
      <c r="A136" s="71" t="s">
        <v>14</v>
      </c>
      <c r="B136" s="7">
        <f t="shared" si="24"/>
        <v>76605802.81010541</v>
      </c>
      <c r="C136" s="242">
        <v>6158373.313999999</v>
      </c>
      <c r="D136" s="242">
        <v>5690523.895831998</v>
      </c>
      <c r="E136" s="242">
        <v>688437.5219308995</v>
      </c>
      <c r="F136" s="6">
        <f t="shared" si="25"/>
        <v>6378961.417762898</v>
      </c>
      <c r="G136" s="6">
        <f t="shared" si="26"/>
        <v>467849.4181680009</v>
      </c>
      <c r="H136" s="6">
        <f t="shared" si="27"/>
        <v>-220588.1037628986</v>
      </c>
      <c r="I136" s="18">
        <v>0</v>
      </c>
    </row>
    <row r="137" spans="1:9" ht="13.5">
      <c r="A137" s="71" t="s">
        <v>15</v>
      </c>
      <c r="B137" s="7">
        <f t="shared" si="24"/>
        <v>76818750.22357342</v>
      </c>
      <c r="C137" s="242">
        <v>5817547.949000001</v>
      </c>
      <c r="D137" s="242">
        <v>5302815.809163995</v>
      </c>
      <c r="E137" s="242">
        <v>301784.7263679998</v>
      </c>
      <c r="F137" s="6">
        <f t="shared" si="25"/>
        <v>5604600.535531995</v>
      </c>
      <c r="G137" s="6">
        <f t="shared" si="26"/>
        <v>514732.13983600587</v>
      </c>
      <c r="H137" s="6">
        <f t="shared" si="27"/>
        <v>212947.41346800607</v>
      </c>
      <c r="I137" s="18">
        <v>0</v>
      </c>
    </row>
    <row r="138" spans="1:9" ht="13.5">
      <c r="A138" s="71" t="s">
        <v>16</v>
      </c>
      <c r="B138" s="7">
        <f t="shared" si="24"/>
        <v>76122769.78587052</v>
      </c>
      <c r="C138" s="295">
        <v>5190837.178828001</v>
      </c>
      <c r="D138" s="295">
        <v>5558138.106527997</v>
      </c>
      <c r="E138" s="295">
        <v>328679.5100028999</v>
      </c>
      <c r="F138" s="6">
        <f t="shared" si="25"/>
        <v>5886817.616530897</v>
      </c>
      <c r="G138" s="6">
        <f t="shared" si="26"/>
        <v>-367300.92769999616</v>
      </c>
      <c r="H138" s="6">
        <f t="shared" si="27"/>
        <v>-695980.4377028961</v>
      </c>
      <c r="I138" s="11">
        <v>0</v>
      </c>
    </row>
    <row r="139" spans="1:9" ht="13.5">
      <c r="A139" s="71" t="s">
        <v>17</v>
      </c>
      <c r="B139" s="7">
        <f t="shared" si="24"/>
        <v>75924650.5238648</v>
      </c>
      <c r="C139" s="295">
        <v>5548298.026999999</v>
      </c>
      <c r="D139" s="295">
        <v>5417458.023256011</v>
      </c>
      <c r="E139" s="295">
        <v>328959.26574970037</v>
      </c>
      <c r="F139" s="6">
        <f t="shared" si="25"/>
        <v>5746417.289005712</v>
      </c>
      <c r="G139" s="6">
        <f t="shared" si="26"/>
        <v>130840.00374398753</v>
      </c>
      <c r="H139" s="6">
        <f t="shared" si="27"/>
        <v>-198119.26200571284</v>
      </c>
      <c r="I139" s="18">
        <v>0</v>
      </c>
    </row>
    <row r="140" spans="1:9" ht="14.25">
      <c r="A140" s="71" t="s">
        <v>18</v>
      </c>
      <c r="B140" s="7">
        <f t="shared" si="24"/>
        <v>76924743.2036508</v>
      </c>
      <c r="C140" s="666">
        <v>6377974.333850004</v>
      </c>
      <c r="D140" s="666">
        <v>5053269.811019998</v>
      </c>
      <c r="E140" s="666">
        <v>324611.8430440016</v>
      </c>
      <c r="F140" s="6">
        <f t="shared" si="25"/>
        <v>5377881.654064</v>
      </c>
      <c r="G140" s="6">
        <f t="shared" si="26"/>
        <v>1324704.5228300057</v>
      </c>
      <c r="H140" s="6">
        <f t="shared" si="27"/>
        <v>1000092.6797860041</v>
      </c>
      <c r="I140" s="18">
        <v>0</v>
      </c>
    </row>
    <row r="141" spans="1:9" ht="14.25">
      <c r="A141" s="71" t="s">
        <v>19</v>
      </c>
      <c r="B141" s="7">
        <f t="shared" si="24"/>
        <v>77478064.4021039</v>
      </c>
      <c r="C141" s="667">
        <v>6554951.567999996</v>
      </c>
      <c r="D141" s="667">
        <v>5648399.830138002</v>
      </c>
      <c r="E141" s="667">
        <v>353230.53940889984</v>
      </c>
      <c r="F141" s="6">
        <f t="shared" si="25"/>
        <v>6001630.369546901</v>
      </c>
      <c r="G141" s="6">
        <f t="shared" si="26"/>
        <v>906551.7378619947</v>
      </c>
      <c r="H141" s="6">
        <f t="shared" si="27"/>
        <v>553321.1984530948</v>
      </c>
      <c r="I141" s="18">
        <v>0</v>
      </c>
    </row>
    <row r="142" spans="1:9" ht="14.25">
      <c r="A142" s="71" t="s">
        <v>20</v>
      </c>
      <c r="B142" s="7">
        <f t="shared" si="24"/>
        <v>76933232.67618111</v>
      </c>
      <c r="C142" s="668">
        <v>5401031.811999992</v>
      </c>
      <c r="D142" s="668">
        <v>5687761.544973992</v>
      </c>
      <c r="E142" s="668">
        <v>258101.99294880033</v>
      </c>
      <c r="F142" s="6">
        <f t="shared" si="25"/>
        <v>5945863.537922792</v>
      </c>
      <c r="G142" s="6">
        <f t="shared" si="26"/>
        <v>-286729.7329740003</v>
      </c>
      <c r="H142" s="6">
        <f t="shared" si="27"/>
        <v>-544831.7259228006</v>
      </c>
      <c r="I142" s="18">
        <v>0</v>
      </c>
    </row>
    <row r="143" spans="1:9" ht="14.25">
      <c r="A143" s="57" t="s">
        <v>21</v>
      </c>
      <c r="B143" s="7">
        <f t="shared" si="24"/>
        <v>76284525.49151209</v>
      </c>
      <c r="C143" s="667">
        <v>5544031.630956002</v>
      </c>
      <c r="D143" s="667">
        <v>5739825.834850013</v>
      </c>
      <c r="E143" s="667">
        <v>452912.98077499866</v>
      </c>
      <c r="F143" s="6">
        <f t="shared" si="25"/>
        <v>6192738.815625012</v>
      </c>
      <c r="G143" s="6">
        <f t="shared" si="26"/>
        <v>-195794.20389401168</v>
      </c>
      <c r="H143" s="6">
        <f t="shared" si="27"/>
        <v>-648707.1846690103</v>
      </c>
      <c r="I143" s="18">
        <v>0</v>
      </c>
    </row>
    <row r="144" spans="1:9" ht="14.25">
      <c r="A144" s="71" t="s">
        <v>22</v>
      </c>
      <c r="B144" s="7">
        <f t="shared" si="24"/>
        <v>76704823.3952725</v>
      </c>
      <c r="C144" s="667">
        <v>5794415.914594002</v>
      </c>
      <c r="D144" s="667">
        <v>5080753.9784109965</v>
      </c>
      <c r="E144" s="667">
        <v>293364.0324226003</v>
      </c>
      <c r="F144" s="6">
        <f t="shared" si="25"/>
        <v>5374118.010833597</v>
      </c>
      <c r="G144" s="6">
        <f t="shared" si="26"/>
        <v>713661.9361830056</v>
      </c>
      <c r="H144" s="6">
        <f t="shared" si="27"/>
        <v>420297.90376040526</v>
      </c>
      <c r="I144" s="18">
        <v>0</v>
      </c>
    </row>
    <row r="145" spans="1:9" ht="14.25">
      <c r="A145" s="71" t="s">
        <v>23</v>
      </c>
      <c r="B145" s="7">
        <f t="shared" si="24"/>
        <v>78394396.9752918</v>
      </c>
      <c r="C145" s="667">
        <v>7572743.836202003</v>
      </c>
      <c r="D145" s="667">
        <v>5583186.345013998</v>
      </c>
      <c r="E145" s="667">
        <v>299983.9111687001</v>
      </c>
      <c r="F145" s="6">
        <f t="shared" si="25"/>
        <v>5883170.2561826985</v>
      </c>
      <c r="G145" s="6">
        <f t="shared" si="26"/>
        <v>1989557.4911880046</v>
      </c>
      <c r="H145" s="6">
        <f t="shared" si="27"/>
        <v>1689573.5800193045</v>
      </c>
      <c r="I145" s="18">
        <v>0</v>
      </c>
    </row>
    <row r="146" spans="1:9" ht="14.25" thickBot="1">
      <c r="A146" s="79" t="s">
        <v>24</v>
      </c>
      <c r="B146" s="12"/>
      <c r="C146" s="13"/>
      <c r="D146" s="13"/>
      <c r="E146" s="13"/>
      <c r="F146" s="13"/>
      <c r="G146" s="13"/>
      <c r="H146" s="13"/>
      <c r="I146" s="14"/>
    </row>
    <row r="148" ht="14.25" thickBot="1"/>
    <row r="149" spans="1:9" ht="14.25" thickBot="1">
      <c r="A149" s="1880" t="s">
        <v>1080</v>
      </c>
      <c r="B149" s="1881"/>
      <c r="C149" s="1881"/>
      <c r="D149" s="1881"/>
      <c r="E149" s="1881"/>
      <c r="F149" s="1881"/>
      <c r="G149" s="1881"/>
      <c r="H149" s="1881"/>
      <c r="I149" s="1882"/>
    </row>
    <row r="150" spans="1:9" ht="13.5">
      <c r="A150" s="1883" t="s">
        <v>1081</v>
      </c>
      <c r="B150" s="36" t="s">
        <v>790</v>
      </c>
      <c r="C150" s="36" t="s">
        <v>1082</v>
      </c>
      <c r="D150" s="1885" t="s">
        <v>1083</v>
      </c>
      <c r="E150" s="1885" t="s">
        <v>1084</v>
      </c>
      <c r="F150" s="1885" t="s">
        <v>4</v>
      </c>
      <c r="G150" s="1885" t="s">
        <v>1085</v>
      </c>
      <c r="H150" s="1885" t="s">
        <v>1086</v>
      </c>
      <c r="I150" s="1887" t="s">
        <v>95</v>
      </c>
    </row>
    <row r="151" spans="1:9" ht="24.75" customHeight="1" thickBot="1">
      <c r="A151" s="1884"/>
      <c r="B151" s="37"/>
      <c r="C151" s="657"/>
      <c r="D151" s="1886"/>
      <c r="E151" s="1886"/>
      <c r="F151" s="1886"/>
      <c r="G151" s="1886"/>
      <c r="H151" s="1886"/>
      <c r="I151" s="1888"/>
    </row>
    <row r="152" spans="1:9" ht="13.5">
      <c r="A152" s="68"/>
      <c r="B152" s="7">
        <f>B145</f>
        <v>78394396.9752918</v>
      </c>
      <c r="C152" s="40">
        <v>2</v>
      </c>
      <c r="D152" s="40">
        <v>5</v>
      </c>
      <c r="E152" s="40">
        <v>7</v>
      </c>
      <c r="F152" s="40" t="s">
        <v>8</v>
      </c>
      <c r="G152" s="40" t="s">
        <v>9</v>
      </c>
      <c r="H152" s="127"/>
      <c r="I152" s="70"/>
    </row>
    <row r="153" spans="1:9" ht="13.5">
      <c r="A153" s="71" t="s">
        <v>12</v>
      </c>
      <c r="B153" s="669">
        <f aca="true" t="shared" si="28" ref="B153:B160">B152+H153</f>
        <v>79437475.90379992</v>
      </c>
      <c r="C153" s="242">
        <v>7902271.863152001</v>
      </c>
      <c r="D153" s="242">
        <v>4793435.8877759995</v>
      </c>
      <c r="E153" s="242">
        <v>2065757.0468678903</v>
      </c>
      <c r="F153" s="670">
        <f aca="true" t="shared" si="29" ref="F153:F164">D153+E153</f>
        <v>6859192.93464389</v>
      </c>
      <c r="G153" s="670">
        <f aca="true" t="shared" si="30" ref="G153:G164">C153-D153</f>
        <v>3108835.9753760016</v>
      </c>
      <c r="H153" s="670">
        <f aca="true" t="shared" si="31" ref="H153:H164">C153-D153-E153</f>
        <v>1043078.9285081113</v>
      </c>
      <c r="I153" s="18">
        <v>0</v>
      </c>
    </row>
    <row r="154" spans="1:9" ht="13.5">
      <c r="A154" s="71" t="s">
        <v>13</v>
      </c>
      <c r="B154" s="671">
        <f t="shared" si="28"/>
        <v>80288828.57491392</v>
      </c>
      <c r="C154" s="295">
        <v>7515728.455634002</v>
      </c>
      <c r="D154" s="295">
        <v>4569541.012953998</v>
      </c>
      <c r="E154" s="295">
        <v>2094834.7715659998</v>
      </c>
      <c r="F154" s="670">
        <f t="shared" si="29"/>
        <v>6664375.784519997</v>
      </c>
      <c r="G154" s="670">
        <f t="shared" si="30"/>
        <v>2946187.442680004</v>
      </c>
      <c r="H154" s="670">
        <f t="shared" si="31"/>
        <v>851352.6711140042</v>
      </c>
      <c r="I154" s="18">
        <v>0</v>
      </c>
    </row>
    <row r="155" spans="1:9" ht="13.5">
      <c r="A155" s="71" t="s">
        <v>14</v>
      </c>
      <c r="B155" s="671">
        <f t="shared" si="28"/>
        <v>80426272.68477692</v>
      </c>
      <c r="C155" s="295">
        <v>7857071.261740003</v>
      </c>
      <c r="D155" s="295">
        <v>6691412.812470002</v>
      </c>
      <c r="E155" s="295">
        <v>1028214.3394070007</v>
      </c>
      <c r="F155" s="670">
        <f t="shared" si="29"/>
        <v>7719627.151877003</v>
      </c>
      <c r="G155" s="670">
        <f t="shared" si="30"/>
        <v>1165658.4492700007</v>
      </c>
      <c r="H155" s="670">
        <f t="shared" si="31"/>
        <v>137444.109863</v>
      </c>
      <c r="I155" s="18">
        <v>0</v>
      </c>
    </row>
    <row r="156" spans="1:9" ht="13.5">
      <c r="A156" s="71" t="s">
        <v>15</v>
      </c>
      <c r="B156" s="671">
        <f t="shared" si="28"/>
        <v>79617379.68477692</v>
      </c>
      <c r="C156" s="719">
        <v>6186945</v>
      </c>
      <c r="D156" s="719">
        <v>6531117</v>
      </c>
      <c r="E156" s="719">
        <v>464721</v>
      </c>
      <c r="F156" s="670">
        <f t="shared" si="29"/>
        <v>6995838</v>
      </c>
      <c r="G156" s="670">
        <f t="shared" si="30"/>
        <v>-344172</v>
      </c>
      <c r="H156" s="670">
        <f t="shared" si="31"/>
        <v>-808893</v>
      </c>
      <c r="I156" s="18">
        <v>0</v>
      </c>
    </row>
    <row r="157" spans="1:9" ht="13.5">
      <c r="A157" s="71" t="s">
        <v>16</v>
      </c>
      <c r="B157" s="671">
        <f t="shared" si="28"/>
        <v>79499358.53589898</v>
      </c>
      <c r="C157" s="720">
        <v>6188302.736056</v>
      </c>
      <c r="D157" s="720">
        <v>5969487.908438031</v>
      </c>
      <c r="E157" s="720">
        <v>336835.9764959002</v>
      </c>
      <c r="F157" s="670">
        <f t="shared" si="29"/>
        <v>6306323.884933931</v>
      </c>
      <c r="G157" s="670">
        <f t="shared" si="30"/>
        <v>218814.82761796936</v>
      </c>
      <c r="H157" s="670">
        <f t="shared" si="31"/>
        <v>-118021.14887793083</v>
      </c>
      <c r="I157" s="11">
        <v>0</v>
      </c>
    </row>
    <row r="158" spans="1:9" ht="13.5">
      <c r="A158" s="71" t="s">
        <v>17</v>
      </c>
      <c r="B158" s="671">
        <f t="shared" si="28"/>
        <v>79997520.27893513</v>
      </c>
      <c r="C158" s="720">
        <v>6553744.284214005</v>
      </c>
      <c r="D158" s="720">
        <v>5610348.88426796</v>
      </c>
      <c r="E158" s="720">
        <v>445233.6569099007</v>
      </c>
      <c r="F158" s="670">
        <f t="shared" si="29"/>
        <v>6055582.54117786</v>
      </c>
      <c r="G158" s="670">
        <f t="shared" si="30"/>
        <v>943395.3999460451</v>
      </c>
      <c r="H158" s="670">
        <f t="shared" si="31"/>
        <v>498161.7430361444</v>
      </c>
      <c r="I158" s="18">
        <v>0</v>
      </c>
    </row>
    <row r="159" spans="1:9" ht="14.25">
      <c r="A159" s="71" t="s">
        <v>18</v>
      </c>
      <c r="B159" s="1587">
        <f t="shared" si="28"/>
        <v>80005681.36438741</v>
      </c>
      <c r="C159" s="1588">
        <v>6553744.284213997</v>
      </c>
      <c r="D159" s="1588">
        <v>6230846.146852016</v>
      </c>
      <c r="E159" s="1588">
        <v>314737.0519097019</v>
      </c>
      <c r="F159" s="1589">
        <f t="shared" si="29"/>
        <v>6545583.198761718</v>
      </c>
      <c r="G159" s="1589">
        <f t="shared" si="30"/>
        <v>322898.137361981</v>
      </c>
      <c r="H159" s="1589">
        <f t="shared" si="31"/>
        <v>8161.085452279076</v>
      </c>
      <c r="I159" s="1590">
        <v>0</v>
      </c>
    </row>
    <row r="160" spans="1:9" ht="14.25">
      <c r="A160" s="71" t="s">
        <v>19</v>
      </c>
      <c r="B160" s="1587">
        <f t="shared" si="28"/>
        <v>79791652.96268351</v>
      </c>
      <c r="C160" s="1588">
        <v>7358491.039474003</v>
      </c>
      <c r="D160" s="1588">
        <v>7103149.69201</v>
      </c>
      <c r="E160" s="1588">
        <v>469369.7491678996</v>
      </c>
      <c r="F160" s="1589">
        <f t="shared" si="29"/>
        <v>7572519.4411779</v>
      </c>
      <c r="G160" s="1589">
        <f t="shared" si="30"/>
        <v>255341.34746400267</v>
      </c>
      <c r="H160" s="1589">
        <f t="shared" si="31"/>
        <v>-214028.40170389693</v>
      </c>
      <c r="I160" s="1590">
        <v>0</v>
      </c>
    </row>
    <row r="161" spans="1:9" ht="14.25">
      <c r="A161" s="71" t="s">
        <v>20</v>
      </c>
      <c r="B161" s="1587">
        <f>B160+H161</f>
        <v>78554733.53734072</v>
      </c>
      <c r="C161" s="1591">
        <v>6162924.833488002</v>
      </c>
      <c r="D161" s="1592">
        <v>7005111.688818</v>
      </c>
      <c r="E161" s="1592">
        <v>394732.57001279946</v>
      </c>
      <c r="F161" s="1593">
        <f>D161+E161</f>
        <v>7399844.2588308</v>
      </c>
      <c r="G161" s="1593">
        <f>C161-D161</f>
        <v>-842186.8553299978</v>
      </c>
      <c r="H161" s="1593">
        <f>C161-D161-E161</f>
        <v>-1236919.4253427973</v>
      </c>
      <c r="I161" s="1590">
        <v>0</v>
      </c>
    </row>
    <row r="162" spans="1:9" ht="14.25">
      <c r="A162" s="57" t="s">
        <v>21</v>
      </c>
      <c r="B162" s="1587">
        <f>B161+H162</f>
        <v>77962798.13947153</v>
      </c>
      <c r="C162" s="1588">
        <v>5848662.997892007</v>
      </c>
      <c r="D162" s="348">
        <v>6104849.747635998</v>
      </c>
      <c r="E162" s="348">
        <v>335748.6481251996</v>
      </c>
      <c r="F162" s="1594">
        <f t="shared" si="29"/>
        <v>6440598.395761197</v>
      </c>
      <c r="G162" s="1594">
        <f t="shared" si="30"/>
        <v>-256186.7497439906</v>
      </c>
      <c r="H162" s="1594">
        <f t="shared" si="31"/>
        <v>-591935.3978691902</v>
      </c>
      <c r="I162" s="1590">
        <v>0</v>
      </c>
    </row>
    <row r="163" spans="1:9" ht="13.5">
      <c r="A163" s="71" t="s">
        <v>22</v>
      </c>
      <c r="B163" s="1587">
        <f>B162+H163</f>
        <v>78481014.17492966</v>
      </c>
      <c r="C163" s="1592">
        <v>6502314.575459987</v>
      </c>
      <c r="D163" s="1592">
        <v>798011.2907420471</v>
      </c>
      <c r="E163" s="1592">
        <v>5186087.249259809</v>
      </c>
      <c r="F163" s="1594">
        <f t="shared" si="29"/>
        <v>5984098.540001856</v>
      </c>
      <c r="G163" s="1594">
        <f t="shared" si="30"/>
        <v>5704303.28471794</v>
      </c>
      <c r="H163" s="1594">
        <f t="shared" si="31"/>
        <v>518216.03545813076</v>
      </c>
      <c r="I163" s="1590">
        <v>0</v>
      </c>
    </row>
    <row r="164" spans="1:9" ht="13.5">
      <c r="A164" s="71" t="s">
        <v>23</v>
      </c>
      <c r="B164" s="1587">
        <f>B163+H164</f>
        <v>79249437.67015755</v>
      </c>
      <c r="C164" s="1592">
        <v>7458985.668322012</v>
      </c>
      <c r="D164" s="1592">
        <v>6200688.066289976</v>
      </c>
      <c r="E164" s="1592">
        <v>489874.1068041455</v>
      </c>
      <c r="F164" s="1594">
        <f t="shared" si="29"/>
        <v>6690562.173094122</v>
      </c>
      <c r="G164" s="1594">
        <f t="shared" si="30"/>
        <v>1258297.6020320356</v>
      </c>
      <c r="H164" s="1594">
        <f t="shared" si="31"/>
        <v>768423.4952278901</v>
      </c>
      <c r="I164" s="1590">
        <v>0</v>
      </c>
    </row>
    <row r="165" spans="1:9" ht="14.25" thickBot="1">
      <c r="A165" s="79" t="s">
        <v>24</v>
      </c>
      <c r="B165" s="1595"/>
      <c r="C165" s="1596">
        <f>SUM(C153:C164)</f>
        <v>82089186.99964602</v>
      </c>
      <c r="D165" s="1596"/>
      <c r="E165" s="1596"/>
      <c r="F165" s="1596">
        <f>SUM(F153:F164)</f>
        <v>81234146.30478027</v>
      </c>
      <c r="G165" s="1596"/>
      <c r="H165" s="1596"/>
      <c r="I165" s="1597"/>
    </row>
    <row r="166" ht="14.25" thickBot="1"/>
    <row r="167" spans="3:8" ht="15.75" thickBot="1">
      <c r="C167" s="22"/>
      <c r="D167" s="22"/>
      <c r="F167" s="1748" t="s">
        <v>1087</v>
      </c>
      <c r="G167" s="1749"/>
      <c r="H167" s="1750"/>
    </row>
  </sheetData>
  <sheetProtection/>
  <mergeCells count="73">
    <mergeCell ref="F167:H167"/>
    <mergeCell ref="A149:I149"/>
    <mergeCell ref="A150:A151"/>
    <mergeCell ref="D150:D151"/>
    <mergeCell ref="E150:E151"/>
    <mergeCell ref="F150:F151"/>
    <mergeCell ref="G150:G151"/>
    <mergeCell ref="H150:H151"/>
    <mergeCell ref="I150:I151"/>
    <mergeCell ref="H74:H75"/>
    <mergeCell ref="I74:I75"/>
    <mergeCell ref="A92:I92"/>
    <mergeCell ref="A93:A94"/>
    <mergeCell ref="D93:D94"/>
    <mergeCell ref="E93:E94"/>
    <mergeCell ref="F93:F94"/>
    <mergeCell ref="G93:G94"/>
    <mergeCell ref="H93:H94"/>
    <mergeCell ref="I93:I94"/>
    <mergeCell ref="A74:A75"/>
    <mergeCell ref="D74:D75"/>
    <mergeCell ref="E74:E75"/>
    <mergeCell ref="F74:F75"/>
    <mergeCell ref="G74:G75"/>
    <mergeCell ref="A73:I73"/>
    <mergeCell ref="A56:A57"/>
    <mergeCell ref="E56:E57"/>
    <mergeCell ref="I56:I57"/>
    <mergeCell ref="H56:H57"/>
    <mergeCell ref="G56:G57"/>
    <mergeCell ref="F56:F57"/>
    <mergeCell ref="A1:I1"/>
    <mergeCell ref="A19:I19"/>
    <mergeCell ref="I20:I21"/>
    <mergeCell ref="A20:A21"/>
    <mergeCell ref="D20:D21"/>
    <mergeCell ref="E20:E21"/>
    <mergeCell ref="F20:F21"/>
    <mergeCell ref="G20:G21"/>
    <mergeCell ref="H20:H21"/>
    <mergeCell ref="I2:I3"/>
    <mergeCell ref="A2:A3"/>
    <mergeCell ref="D2:D3"/>
    <mergeCell ref="F2:F3"/>
    <mergeCell ref="G2:G3"/>
    <mergeCell ref="H2:H3"/>
    <mergeCell ref="E2:E3"/>
    <mergeCell ref="A111:I111"/>
    <mergeCell ref="A112:A113"/>
    <mergeCell ref="D112:D113"/>
    <mergeCell ref="E112:E113"/>
    <mergeCell ref="F112:F113"/>
    <mergeCell ref="G112:G113"/>
    <mergeCell ref="H112:H113"/>
    <mergeCell ref="I112:I113"/>
    <mergeCell ref="A37:I37"/>
    <mergeCell ref="G38:G39"/>
    <mergeCell ref="A55:I55"/>
    <mergeCell ref="D56:D57"/>
    <mergeCell ref="I38:I39"/>
    <mergeCell ref="H38:H39"/>
    <mergeCell ref="A38:A39"/>
    <mergeCell ref="D38:D39"/>
    <mergeCell ref="E38:E39"/>
    <mergeCell ref="F38:F39"/>
    <mergeCell ref="A130:I130"/>
    <mergeCell ref="A131:A132"/>
    <mergeCell ref="D131:D132"/>
    <mergeCell ref="E131:E132"/>
    <mergeCell ref="F131:F132"/>
    <mergeCell ref="G131:G132"/>
    <mergeCell ref="H131:H132"/>
    <mergeCell ref="I131:I132"/>
  </mergeCells>
  <printOptions/>
  <pageMargins left="0.25" right="0.25" top="0.75" bottom="0.75" header="0.3" footer="0.3"/>
  <pageSetup fitToHeight="2" orientation="portrait" scale="35" r:id="rId1"/>
  <rowBreaks count="1" manualBreakCount="1">
    <brk id="14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16"/>
  <sheetViews>
    <sheetView view="pageBreakPreview" zoomScale="55" zoomScaleSheetLayoutView="55" zoomScalePageLayoutView="0" workbookViewId="0" topLeftCell="A39">
      <selection activeCell="FI14" sqref="FI14"/>
    </sheetView>
  </sheetViews>
  <sheetFormatPr defaultColWidth="9.140625" defaultRowHeight="15"/>
  <cols>
    <col min="1" max="1" width="2.57421875" style="316" bestFit="1" customWidth="1"/>
    <col min="2" max="97" width="1.7109375" style="316" customWidth="1"/>
    <col min="98" max="98" width="1.8515625" style="316" customWidth="1"/>
    <col min="99" max="117" width="1.7109375" style="316" customWidth="1"/>
    <col min="118" max="118" width="2.140625" style="316" customWidth="1"/>
    <col min="119" max="133" width="1.7109375" style="316" customWidth="1"/>
    <col min="134" max="138" width="2.28125" style="316" customWidth="1"/>
    <col min="139" max="139" width="3.00390625" style="316" customWidth="1"/>
    <col min="140" max="145" width="2.28125" style="316" customWidth="1"/>
    <col min="146" max="157" width="2.7109375" style="316" customWidth="1"/>
    <col min="158" max="159" width="9.140625" style="316" customWidth="1"/>
    <col min="160" max="160" width="9.8515625" style="316" bestFit="1" customWidth="1"/>
    <col min="161" max="16384" width="9.140625" style="316" customWidth="1"/>
  </cols>
  <sheetData>
    <row r="1" spans="2:157" ht="33" customHeight="1">
      <c r="B1" s="1892" t="s">
        <v>1187</v>
      </c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93"/>
      <c r="O1" s="1893"/>
      <c r="P1" s="1893"/>
      <c r="Q1" s="1893"/>
      <c r="R1" s="1893"/>
      <c r="S1" s="1893"/>
      <c r="T1" s="1893"/>
      <c r="U1" s="1893"/>
      <c r="V1" s="1893"/>
      <c r="W1" s="1893"/>
      <c r="X1" s="1893"/>
      <c r="Y1" s="1893"/>
      <c r="Z1" s="1893"/>
      <c r="AA1" s="1893"/>
      <c r="AB1" s="1893"/>
      <c r="AC1" s="1893"/>
      <c r="AD1" s="1893"/>
      <c r="AE1" s="1893"/>
      <c r="AF1" s="1893"/>
      <c r="AG1" s="1893"/>
      <c r="AH1" s="1893"/>
      <c r="AI1" s="1893"/>
      <c r="AJ1" s="1893"/>
      <c r="AK1" s="1893"/>
      <c r="AL1" s="1893"/>
      <c r="AM1" s="1893"/>
      <c r="AN1" s="1893"/>
      <c r="AO1" s="1893"/>
      <c r="AP1" s="1893"/>
      <c r="AQ1" s="1893"/>
      <c r="AR1" s="1893"/>
      <c r="AS1" s="1893"/>
      <c r="AT1" s="1893"/>
      <c r="AU1" s="1893"/>
      <c r="AV1" s="1893"/>
      <c r="AW1" s="1893"/>
      <c r="AX1" s="1893"/>
      <c r="AY1" s="1893"/>
      <c r="AZ1" s="1893"/>
      <c r="BA1" s="1893"/>
      <c r="BB1" s="1893"/>
      <c r="BC1" s="1893"/>
      <c r="BD1" s="1893"/>
      <c r="BE1" s="1893"/>
      <c r="BF1" s="1893"/>
      <c r="BG1" s="1893"/>
      <c r="BH1" s="1893"/>
      <c r="BI1" s="1893"/>
      <c r="BJ1" s="1893"/>
      <c r="BK1" s="1893"/>
      <c r="BL1" s="1893"/>
      <c r="BM1" s="1893"/>
      <c r="BN1" s="1893"/>
      <c r="BO1" s="1893"/>
      <c r="BP1" s="1893"/>
      <c r="BQ1" s="1893"/>
      <c r="BR1" s="1893"/>
      <c r="BS1" s="1893"/>
      <c r="BT1" s="1893"/>
      <c r="BU1" s="1893"/>
      <c r="BV1" s="1893"/>
      <c r="BW1" s="1893"/>
      <c r="BX1" s="1893"/>
      <c r="BY1" s="1893"/>
      <c r="BZ1" s="1893"/>
      <c r="CA1" s="1893"/>
      <c r="CB1" s="1893"/>
      <c r="CC1" s="1893"/>
      <c r="CD1" s="1893"/>
      <c r="CE1" s="1893"/>
      <c r="CF1" s="1893"/>
      <c r="CG1" s="1893"/>
      <c r="CH1" s="1893"/>
      <c r="CI1" s="1893"/>
      <c r="CJ1" s="1893"/>
      <c r="CK1" s="1893"/>
      <c r="CL1" s="1893"/>
      <c r="CM1" s="1893"/>
      <c r="CN1" s="1893"/>
      <c r="CO1" s="1893"/>
      <c r="CP1" s="1893"/>
      <c r="CQ1" s="1893"/>
      <c r="CR1" s="1893"/>
      <c r="CS1" s="1893"/>
      <c r="CT1" s="1893"/>
      <c r="CU1" s="1893"/>
      <c r="CV1" s="1893"/>
      <c r="CW1" s="1893"/>
      <c r="CX1" s="1893"/>
      <c r="CY1" s="1893"/>
      <c r="CZ1" s="1893"/>
      <c r="DA1" s="1893"/>
      <c r="DB1" s="1893"/>
      <c r="DC1" s="1893"/>
      <c r="DD1" s="1893"/>
      <c r="DE1" s="1893"/>
      <c r="DF1" s="1893"/>
      <c r="DG1" s="1893"/>
      <c r="DH1" s="1893"/>
      <c r="DI1" s="1893"/>
      <c r="DJ1" s="1893"/>
      <c r="DK1" s="1893"/>
      <c r="DL1" s="1893"/>
      <c r="DM1" s="1893"/>
      <c r="DN1" s="1893"/>
      <c r="DO1" s="1893"/>
      <c r="DP1" s="1893"/>
      <c r="DQ1" s="1893"/>
      <c r="DR1" s="1893"/>
      <c r="DS1" s="1893"/>
      <c r="DT1" s="1893"/>
      <c r="DU1" s="1893"/>
      <c r="DV1" s="1893"/>
      <c r="DW1" s="1893"/>
      <c r="DX1" s="1893"/>
      <c r="DY1" s="1893"/>
      <c r="DZ1" s="1893"/>
      <c r="EA1" s="1893"/>
      <c r="EB1" s="1893"/>
      <c r="EC1" s="1893"/>
      <c r="ED1" s="1893"/>
      <c r="EE1" s="1893"/>
      <c r="EF1" s="1893"/>
      <c r="EG1" s="1893"/>
      <c r="EH1" s="1893"/>
      <c r="EI1" s="1893"/>
      <c r="EJ1" s="1893"/>
      <c r="EK1" s="1893"/>
      <c r="EL1" s="1893"/>
      <c r="EM1" s="1893"/>
      <c r="EN1" s="1893"/>
      <c r="EO1" s="1893"/>
      <c r="EP1" s="1893"/>
      <c r="EQ1" s="1893"/>
      <c r="ER1" s="1893"/>
      <c r="ES1" s="1893"/>
      <c r="ET1" s="1893"/>
      <c r="EU1" s="1893"/>
      <c r="EV1" s="1893"/>
      <c r="EW1" s="1893"/>
      <c r="EX1" s="1893"/>
      <c r="EY1" s="1893"/>
      <c r="EZ1" s="1893"/>
      <c r="FA1" s="1893"/>
    </row>
    <row r="2" spans="2:157" ht="9">
      <c r="B2" s="1896">
        <v>2010</v>
      </c>
      <c r="C2" s="1897"/>
      <c r="D2" s="1897"/>
      <c r="E2" s="1897"/>
      <c r="F2" s="1897"/>
      <c r="G2" s="1897"/>
      <c r="H2" s="1897"/>
      <c r="I2" s="1897"/>
      <c r="J2" s="1897"/>
      <c r="K2" s="1897"/>
      <c r="L2" s="1897"/>
      <c r="M2" s="1898"/>
      <c r="N2" s="1896">
        <v>2011</v>
      </c>
      <c r="O2" s="1897"/>
      <c r="P2" s="1897"/>
      <c r="Q2" s="1897"/>
      <c r="R2" s="1897"/>
      <c r="S2" s="1897"/>
      <c r="T2" s="1897"/>
      <c r="U2" s="1897"/>
      <c r="V2" s="1897"/>
      <c r="W2" s="1897"/>
      <c r="X2" s="1897"/>
      <c r="Y2" s="1898"/>
      <c r="Z2" s="1896">
        <v>2012</v>
      </c>
      <c r="AA2" s="1897"/>
      <c r="AB2" s="1897"/>
      <c r="AC2" s="1897"/>
      <c r="AD2" s="1897"/>
      <c r="AE2" s="1897"/>
      <c r="AF2" s="1897"/>
      <c r="AG2" s="1897"/>
      <c r="AH2" s="1897"/>
      <c r="AI2" s="1897"/>
      <c r="AJ2" s="1897"/>
      <c r="AK2" s="1898"/>
      <c r="AL2" s="1896">
        <v>2013</v>
      </c>
      <c r="AM2" s="1897"/>
      <c r="AN2" s="1897"/>
      <c r="AO2" s="1897"/>
      <c r="AP2" s="1897"/>
      <c r="AQ2" s="1897"/>
      <c r="AR2" s="1897"/>
      <c r="AS2" s="1897"/>
      <c r="AT2" s="1897"/>
      <c r="AU2" s="1897"/>
      <c r="AV2" s="1897"/>
      <c r="AW2" s="1898"/>
      <c r="AX2" s="1896">
        <v>2014</v>
      </c>
      <c r="AY2" s="1897"/>
      <c r="AZ2" s="1897"/>
      <c r="BA2" s="1897"/>
      <c r="BB2" s="1897"/>
      <c r="BC2" s="1897"/>
      <c r="BD2" s="1897"/>
      <c r="BE2" s="1897"/>
      <c r="BF2" s="1897"/>
      <c r="BG2" s="1897"/>
      <c r="BH2" s="1897"/>
      <c r="BI2" s="1898"/>
      <c r="BJ2" s="1896">
        <v>2015</v>
      </c>
      <c r="BK2" s="1897"/>
      <c r="BL2" s="1897"/>
      <c r="BM2" s="1897"/>
      <c r="BN2" s="1897"/>
      <c r="BO2" s="1897"/>
      <c r="BP2" s="1897"/>
      <c r="BQ2" s="1897"/>
      <c r="BR2" s="1897"/>
      <c r="BS2" s="1897"/>
      <c r="BT2" s="1897"/>
      <c r="BU2" s="1898"/>
      <c r="BV2" s="1896">
        <v>2016</v>
      </c>
      <c r="BW2" s="1897"/>
      <c r="BX2" s="1897"/>
      <c r="BY2" s="1897"/>
      <c r="BZ2" s="1897"/>
      <c r="CA2" s="1897"/>
      <c r="CB2" s="1897"/>
      <c r="CC2" s="1897"/>
      <c r="CD2" s="1897"/>
      <c r="CE2" s="1897"/>
      <c r="CF2" s="1897"/>
      <c r="CG2" s="1898"/>
      <c r="CH2" s="1896">
        <v>2017</v>
      </c>
      <c r="CI2" s="1897"/>
      <c r="CJ2" s="1897"/>
      <c r="CK2" s="1897"/>
      <c r="CL2" s="1897"/>
      <c r="CM2" s="1897"/>
      <c r="CN2" s="1897"/>
      <c r="CO2" s="1897"/>
      <c r="CP2" s="1897"/>
      <c r="CQ2" s="1897"/>
      <c r="CR2" s="1897"/>
      <c r="CS2" s="1898"/>
      <c r="CT2" s="1896">
        <v>2018</v>
      </c>
      <c r="CU2" s="1897"/>
      <c r="CV2" s="1897"/>
      <c r="CW2" s="1897"/>
      <c r="CX2" s="1897"/>
      <c r="CY2" s="1897"/>
      <c r="CZ2" s="1897"/>
      <c r="DA2" s="1897"/>
      <c r="DB2" s="1897"/>
      <c r="DC2" s="1897"/>
      <c r="DD2" s="1897"/>
      <c r="DE2" s="1898"/>
      <c r="DF2" s="1894">
        <v>2019</v>
      </c>
      <c r="DG2" s="1894"/>
      <c r="DH2" s="1894"/>
      <c r="DI2" s="1894"/>
      <c r="DJ2" s="1894"/>
      <c r="DK2" s="1894"/>
      <c r="DL2" s="1894"/>
      <c r="DM2" s="1894"/>
      <c r="DN2" s="1894"/>
      <c r="DO2" s="1894"/>
      <c r="DP2" s="1894"/>
      <c r="DQ2" s="1894"/>
      <c r="DR2" s="1894">
        <v>2020</v>
      </c>
      <c r="DS2" s="1894"/>
      <c r="DT2" s="1894"/>
      <c r="DU2" s="1894"/>
      <c r="DV2" s="1894"/>
      <c r="DW2" s="1894"/>
      <c r="DX2" s="1894"/>
      <c r="DY2" s="1894"/>
      <c r="DZ2" s="1894"/>
      <c r="EA2" s="1894"/>
      <c r="EB2" s="1894"/>
      <c r="EC2" s="1894"/>
      <c r="ED2" s="1894">
        <v>2021</v>
      </c>
      <c r="EE2" s="1894"/>
      <c r="EF2" s="1894"/>
      <c r="EG2" s="1894"/>
      <c r="EH2" s="1894"/>
      <c r="EI2" s="1894"/>
      <c r="EJ2" s="1894"/>
      <c r="EK2" s="1894"/>
      <c r="EL2" s="1894"/>
      <c r="EM2" s="1894"/>
      <c r="EN2" s="1894"/>
      <c r="EO2" s="1894"/>
      <c r="EP2" s="1894">
        <v>2022</v>
      </c>
      <c r="EQ2" s="1894"/>
      <c r="ER2" s="1894"/>
      <c r="ES2" s="1894"/>
      <c r="ET2" s="1894"/>
      <c r="EU2" s="1894"/>
      <c r="EV2" s="1894"/>
      <c r="EW2" s="1894"/>
      <c r="EX2" s="1894"/>
      <c r="EY2" s="1894"/>
      <c r="EZ2" s="1894"/>
      <c r="FA2" s="1894"/>
    </row>
    <row r="3" spans="2:157" ht="30">
      <c r="B3" s="317" t="s">
        <v>12</v>
      </c>
      <c r="C3" s="317" t="s">
        <v>13</v>
      </c>
      <c r="D3" s="317" t="s">
        <v>14</v>
      </c>
      <c r="E3" s="317" t="s">
        <v>15</v>
      </c>
      <c r="F3" s="317" t="s">
        <v>16</v>
      </c>
      <c r="G3" s="317" t="s">
        <v>17</v>
      </c>
      <c r="H3" s="317" t="s">
        <v>18</v>
      </c>
      <c r="I3" s="317" t="s">
        <v>19</v>
      </c>
      <c r="J3" s="317" t="s">
        <v>20</v>
      </c>
      <c r="K3" s="317" t="s">
        <v>21</v>
      </c>
      <c r="L3" s="317" t="s">
        <v>22</v>
      </c>
      <c r="M3" s="317" t="s">
        <v>23</v>
      </c>
      <c r="N3" s="317" t="s">
        <v>12</v>
      </c>
      <c r="O3" s="317" t="s">
        <v>13</v>
      </c>
      <c r="P3" s="317" t="s">
        <v>14</v>
      </c>
      <c r="Q3" s="317" t="s">
        <v>15</v>
      </c>
      <c r="R3" s="317" t="s">
        <v>16</v>
      </c>
      <c r="S3" s="317" t="s">
        <v>17</v>
      </c>
      <c r="T3" s="317" t="s">
        <v>18</v>
      </c>
      <c r="U3" s="317" t="s">
        <v>19</v>
      </c>
      <c r="V3" s="317" t="s">
        <v>20</v>
      </c>
      <c r="W3" s="317" t="s">
        <v>21</v>
      </c>
      <c r="X3" s="317" t="s">
        <v>22</v>
      </c>
      <c r="Y3" s="317" t="s">
        <v>23</v>
      </c>
      <c r="Z3" s="317" t="s">
        <v>12</v>
      </c>
      <c r="AA3" s="317" t="s">
        <v>13</v>
      </c>
      <c r="AB3" s="317" t="s">
        <v>14</v>
      </c>
      <c r="AC3" s="317" t="s">
        <v>15</v>
      </c>
      <c r="AD3" s="317" t="s">
        <v>16</v>
      </c>
      <c r="AE3" s="317" t="s">
        <v>17</v>
      </c>
      <c r="AF3" s="317" t="s">
        <v>18</v>
      </c>
      <c r="AG3" s="317" t="s">
        <v>19</v>
      </c>
      <c r="AH3" s="317" t="s">
        <v>20</v>
      </c>
      <c r="AI3" s="317" t="s">
        <v>21</v>
      </c>
      <c r="AJ3" s="317" t="s">
        <v>22</v>
      </c>
      <c r="AK3" s="317" t="s">
        <v>23</v>
      </c>
      <c r="AL3" s="317" t="s">
        <v>12</v>
      </c>
      <c r="AM3" s="317" t="s">
        <v>13</v>
      </c>
      <c r="AN3" s="317" t="s">
        <v>14</v>
      </c>
      <c r="AO3" s="317" t="s">
        <v>15</v>
      </c>
      <c r="AP3" s="317" t="s">
        <v>16</v>
      </c>
      <c r="AQ3" s="317" t="s">
        <v>17</v>
      </c>
      <c r="AR3" s="317" t="s">
        <v>18</v>
      </c>
      <c r="AS3" s="317" t="s">
        <v>19</v>
      </c>
      <c r="AT3" s="317" t="s">
        <v>20</v>
      </c>
      <c r="AU3" s="317" t="s">
        <v>21</v>
      </c>
      <c r="AV3" s="317" t="s">
        <v>22</v>
      </c>
      <c r="AW3" s="317" t="s">
        <v>23</v>
      </c>
      <c r="AX3" s="317" t="s">
        <v>12</v>
      </c>
      <c r="AY3" s="317" t="s">
        <v>13</v>
      </c>
      <c r="AZ3" s="317" t="s">
        <v>14</v>
      </c>
      <c r="BA3" s="317" t="s">
        <v>15</v>
      </c>
      <c r="BB3" s="317" t="s">
        <v>16</v>
      </c>
      <c r="BC3" s="317" t="s">
        <v>17</v>
      </c>
      <c r="BD3" s="317" t="s">
        <v>18</v>
      </c>
      <c r="BE3" s="317" t="s">
        <v>19</v>
      </c>
      <c r="BF3" s="317" t="s">
        <v>20</v>
      </c>
      <c r="BG3" s="317" t="s">
        <v>21</v>
      </c>
      <c r="BH3" s="317" t="s">
        <v>22</v>
      </c>
      <c r="BI3" s="317" t="s">
        <v>23</v>
      </c>
      <c r="BJ3" s="317" t="s">
        <v>12</v>
      </c>
      <c r="BK3" s="317" t="s">
        <v>13</v>
      </c>
      <c r="BL3" s="317" t="s">
        <v>14</v>
      </c>
      <c r="BM3" s="317" t="s">
        <v>15</v>
      </c>
      <c r="BN3" s="317" t="s">
        <v>16</v>
      </c>
      <c r="BO3" s="317" t="s">
        <v>17</v>
      </c>
      <c r="BP3" s="317" t="s">
        <v>18</v>
      </c>
      <c r="BQ3" s="317" t="s">
        <v>19</v>
      </c>
      <c r="BR3" s="317" t="s">
        <v>20</v>
      </c>
      <c r="BS3" s="317" t="s">
        <v>21</v>
      </c>
      <c r="BT3" s="317" t="s">
        <v>22</v>
      </c>
      <c r="BU3" s="317" t="s">
        <v>23</v>
      </c>
      <c r="BV3" s="317" t="s">
        <v>12</v>
      </c>
      <c r="BW3" s="317" t="s">
        <v>13</v>
      </c>
      <c r="BX3" s="317" t="s">
        <v>14</v>
      </c>
      <c r="BY3" s="317" t="s">
        <v>15</v>
      </c>
      <c r="BZ3" s="317" t="s">
        <v>16</v>
      </c>
      <c r="CA3" s="317" t="s">
        <v>17</v>
      </c>
      <c r="CB3" s="317" t="s">
        <v>18</v>
      </c>
      <c r="CC3" s="317" t="s">
        <v>19</v>
      </c>
      <c r="CD3" s="317" t="s">
        <v>20</v>
      </c>
      <c r="CE3" s="317" t="s">
        <v>21</v>
      </c>
      <c r="CF3" s="317" t="s">
        <v>22</v>
      </c>
      <c r="CG3" s="317" t="s">
        <v>23</v>
      </c>
      <c r="CH3" s="317" t="s">
        <v>12</v>
      </c>
      <c r="CI3" s="317" t="s">
        <v>13</v>
      </c>
      <c r="CJ3" s="317" t="s">
        <v>14</v>
      </c>
      <c r="CK3" s="317" t="s">
        <v>15</v>
      </c>
      <c r="CL3" s="317" t="s">
        <v>16</v>
      </c>
      <c r="CM3" s="317" t="s">
        <v>17</v>
      </c>
      <c r="CN3" s="317" t="s">
        <v>18</v>
      </c>
      <c r="CO3" s="317" t="s">
        <v>19</v>
      </c>
      <c r="CP3" s="317" t="s">
        <v>20</v>
      </c>
      <c r="CQ3" s="317" t="s">
        <v>21</v>
      </c>
      <c r="CR3" s="317" t="s">
        <v>22</v>
      </c>
      <c r="CS3" s="317" t="s">
        <v>23</v>
      </c>
      <c r="CT3" s="317" t="s">
        <v>12</v>
      </c>
      <c r="CU3" s="317" t="s">
        <v>13</v>
      </c>
      <c r="CV3" s="317" t="s">
        <v>14</v>
      </c>
      <c r="CW3" s="317" t="s">
        <v>15</v>
      </c>
      <c r="CX3" s="317" t="s">
        <v>16</v>
      </c>
      <c r="CY3" s="317" t="s">
        <v>17</v>
      </c>
      <c r="CZ3" s="317" t="s">
        <v>18</v>
      </c>
      <c r="DA3" s="317" t="s">
        <v>19</v>
      </c>
      <c r="DB3" s="317" t="s">
        <v>20</v>
      </c>
      <c r="DC3" s="317" t="s">
        <v>21</v>
      </c>
      <c r="DD3" s="317" t="s">
        <v>22</v>
      </c>
      <c r="DE3" s="317" t="s">
        <v>23</v>
      </c>
      <c r="DF3" s="317" t="s">
        <v>12</v>
      </c>
      <c r="DG3" s="317" t="s">
        <v>13</v>
      </c>
      <c r="DH3" s="317" t="s">
        <v>14</v>
      </c>
      <c r="DI3" s="317" t="s">
        <v>15</v>
      </c>
      <c r="DJ3" s="317" t="s">
        <v>16</v>
      </c>
      <c r="DK3" s="317" t="s">
        <v>17</v>
      </c>
      <c r="DL3" s="317" t="s">
        <v>18</v>
      </c>
      <c r="DM3" s="317" t="s">
        <v>19</v>
      </c>
      <c r="DN3" s="317" t="s">
        <v>20</v>
      </c>
      <c r="DO3" s="317" t="s">
        <v>21</v>
      </c>
      <c r="DP3" s="317" t="s">
        <v>22</v>
      </c>
      <c r="DQ3" s="317" t="s">
        <v>23</v>
      </c>
      <c r="DR3" s="317" t="s">
        <v>12</v>
      </c>
      <c r="DS3" s="317" t="s">
        <v>13</v>
      </c>
      <c r="DT3" s="317" t="s">
        <v>14</v>
      </c>
      <c r="DU3" s="317" t="s">
        <v>15</v>
      </c>
      <c r="DV3" s="317" t="s">
        <v>16</v>
      </c>
      <c r="DW3" s="317" t="s">
        <v>17</v>
      </c>
      <c r="DX3" s="317" t="s">
        <v>18</v>
      </c>
      <c r="DY3" s="317" t="s">
        <v>19</v>
      </c>
      <c r="DZ3" s="317" t="s">
        <v>20</v>
      </c>
      <c r="EA3" s="317" t="s">
        <v>21</v>
      </c>
      <c r="EB3" s="317" t="s">
        <v>22</v>
      </c>
      <c r="EC3" s="317" t="s">
        <v>23</v>
      </c>
      <c r="ED3" s="317" t="s">
        <v>12</v>
      </c>
      <c r="EE3" s="317" t="s">
        <v>13</v>
      </c>
      <c r="EF3" s="317" t="s">
        <v>14</v>
      </c>
      <c r="EG3" s="317" t="s">
        <v>15</v>
      </c>
      <c r="EH3" s="317" t="s">
        <v>16</v>
      </c>
      <c r="EI3" s="317" t="s">
        <v>17</v>
      </c>
      <c r="EJ3" s="317" t="s">
        <v>18</v>
      </c>
      <c r="EK3" s="317" t="s">
        <v>19</v>
      </c>
      <c r="EL3" s="317" t="s">
        <v>20</v>
      </c>
      <c r="EM3" s="317" t="s">
        <v>21</v>
      </c>
      <c r="EN3" s="317" t="s">
        <v>22</v>
      </c>
      <c r="EO3" s="317" t="s">
        <v>23</v>
      </c>
      <c r="EP3" s="317" t="s">
        <v>12</v>
      </c>
      <c r="EQ3" s="317" t="s">
        <v>13</v>
      </c>
      <c r="ER3" s="317" t="s">
        <v>14</v>
      </c>
      <c r="ES3" s="317" t="s">
        <v>15</v>
      </c>
      <c r="ET3" s="317" t="s">
        <v>16</v>
      </c>
      <c r="EU3" s="317" t="s">
        <v>17</v>
      </c>
      <c r="EV3" s="317" t="s">
        <v>18</v>
      </c>
      <c r="EW3" s="317" t="s">
        <v>19</v>
      </c>
      <c r="EX3" s="317" t="s">
        <v>20</v>
      </c>
      <c r="EY3" s="317" t="s">
        <v>21</v>
      </c>
      <c r="EZ3" s="317" t="s">
        <v>22</v>
      </c>
      <c r="FA3" s="317" t="s">
        <v>23</v>
      </c>
    </row>
    <row r="4" spans="1:157" ht="42" customHeight="1">
      <c r="A4" s="743" t="s">
        <v>1088</v>
      </c>
      <c r="B4" s="300">
        <v>20142.41</v>
      </c>
      <c r="C4" s="300">
        <v>21173.035</v>
      </c>
      <c r="D4" s="300">
        <v>21774.755</v>
      </c>
      <c r="E4" s="300">
        <v>22129.928</v>
      </c>
      <c r="F4" s="300">
        <v>22347.804</v>
      </c>
      <c r="G4" s="300">
        <v>22766.121</v>
      </c>
      <c r="H4" s="300">
        <v>23546.265</v>
      </c>
      <c r="I4" s="300">
        <v>24055.977</v>
      </c>
      <c r="J4" s="300">
        <v>24413.375</v>
      </c>
      <c r="K4" s="300">
        <v>25130.40832277</v>
      </c>
      <c r="L4" s="300">
        <v>26371.043777242</v>
      </c>
      <c r="M4" s="300">
        <v>27366.147777242</v>
      </c>
      <c r="N4" s="300">
        <v>27823.114699602</v>
      </c>
      <c r="O4" s="300">
        <v>29058.889567271613</v>
      </c>
      <c r="P4" s="300">
        <v>29433.309206426886</v>
      </c>
      <c r="Q4" s="300">
        <v>30026.456253188746</v>
      </c>
      <c r="R4" s="300">
        <v>30683.153701923286</v>
      </c>
      <c r="S4" s="300">
        <v>31430.079679330258</v>
      </c>
      <c r="T4" s="300">
        <v>32610.782068503984</v>
      </c>
      <c r="U4" s="300">
        <v>33364.33296555991</v>
      </c>
      <c r="V4" s="300">
        <v>34286.30878938933</v>
      </c>
      <c r="W4" s="300">
        <v>35953.3380586941</v>
      </c>
      <c r="X4" s="300">
        <v>36844.8691996244</v>
      </c>
      <c r="Y4" s="300">
        <v>38103.628331845524</v>
      </c>
      <c r="Z4" s="300">
        <v>39304.01662556132</v>
      </c>
      <c r="AA4" s="300">
        <v>40115.76384768072</v>
      </c>
      <c r="AB4" s="300">
        <v>40786.38076319273</v>
      </c>
      <c r="AC4" s="300">
        <v>41132.76910066696</v>
      </c>
      <c r="AD4" s="300">
        <v>41427.13456899854</v>
      </c>
      <c r="AE4" s="300">
        <v>41839.34977040108</v>
      </c>
      <c r="AF4" s="300">
        <v>41950.99909553523</v>
      </c>
      <c r="AG4" s="300">
        <v>42280.895781749896</v>
      </c>
      <c r="AH4" s="300">
        <v>42736.55711360206</v>
      </c>
      <c r="AI4" s="300">
        <v>43251.08178539425</v>
      </c>
      <c r="AJ4" s="300">
        <v>44221.63348685795</v>
      </c>
      <c r="AK4" s="300">
        <v>45304.02933184552</v>
      </c>
      <c r="AL4" s="300">
        <v>46716.83156583534</v>
      </c>
      <c r="AM4" s="300">
        <v>47347.05279210134</v>
      </c>
      <c r="AN4" s="300">
        <v>47780.513490214544</v>
      </c>
      <c r="AO4" s="300">
        <v>48304.132933257075</v>
      </c>
      <c r="AP4" s="300">
        <v>48551.82677192668</v>
      </c>
      <c r="AQ4" s="300">
        <v>49180.99351137088</v>
      </c>
      <c r="AR4" s="300">
        <v>49447.28488436088</v>
      </c>
      <c r="AS4" s="300">
        <v>49992.66907499007</v>
      </c>
      <c r="AT4" s="300">
        <v>50373.05491675997</v>
      </c>
      <c r="AU4" s="300">
        <v>50692.18557274967</v>
      </c>
      <c r="AV4" s="300">
        <v>51407.34180478967</v>
      </c>
      <c r="AW4" s="300">
        <v>52313.11960481368</v>
      </c>
      <c r="AX4" s="300">
        <v>53032.66971294367</v>
      </c>
      <c r="AY4" s="300">
        <v>53702.90547403752</v>
      </c>
      <c r="AZ4" s="300">
        <v>54020.58406488953</v>
      </c>
      <c r="BA4" s="300">
        <v>54462.24771024349</v>
      </c>
      <c r="BB4" s="300">
        <v>54795.02768831547</v>
      </c>
      <c r="BC4" s="300">
        <v>55212.26888071248</v>
      </c>
      <c r="BD4" s="300">
        <v>55536.66355283448</v>
      </c>
      <c r="BE4" s="300">
        <v>56044.13836969229</v>
      </c>
      <c r="BF4" s="300">
        <v>56414.7575345723</v>
      </c>
      <c r="BG4" s="300">
        <v>56414.7575345723</v>
      </c>
      <c r="BH4" s="300">
        <v>56414.7575345723</v>
      </c>
      <c r="BI4" s="300">
        <v>56414.7575345723</v>
      </c>
      <c r="BJ4" s="300">
        <v>55215.69632351949</v>
      </c>
      <c r="BK4" s="300">
        <v>53557.37008493938</v>
      </c>
      <c r="BL4" s="300">
        <v>52796.99206601918</v>
      </c>
      <c r="BM4" s="300">
        <v>52755.26745145918</v>
      </c>
      <c r="BN4" s="300">
        <v>52604.93238198919</v>
      </c>
      <c r="BO4" s="300">
        <v>52561.14998737414</v>
      </c>
      <c r="BP4" s="300">
        <v>52538.03817234403</v>
      </c>
      <c r="BQ4" s="300">
        <v>52601.65342736404</v>
      </c>
      <c r="BR4" s="300">
        <v>52319.86781803404</v>
      </c>
      <c r="BS4" s="300">
        <v>52249.11333223395</v>
      </c>
      <c r="BT4" s="300">
        <v>52482.783134633944</v>
      </c>
      <c r="BU4" s="300">
        <v>52802.15694588393</v>
      </c>
      <c r="BV4" s="300">
        <v>53247.79851773404</v>
      </c>
      <c r="BW4" s="300">
        <v>53269.86281854403</v>
      </c>
      <c r="BX4" s="300">
        <v>53249.79423645383</v>
      </c>
      <c r="BY4" s="300">
        <v>52912.02552791384</v>
      </c>
      <c r="BZ4" s="300">
        <v>51031.37212388569</v>
      </c>
      <c r="CA4" s="300">
        <v>50899.19483160559</v>
      </c>
      <c r="CB4" s="300">
        <v>50936.07419047548</v>
      </c>
      <c r="CC4" s="300">
        <v>50861.31564568539</v>
      </c>
      <c r="CD4" s="300">
        <v>50704.70165569539</v>
      </c>
      <c r="CE4" s="300">
        <v>50638.61043016539</v>
      </c>
      <c r="CF4" s="300">
        <v>50870.429225575295</v>
      </c>
      <c r="CG4" s="300">
        <v>51583.057838095294</v>
      </c>
      <c r="CH4" s="300">
        <v>51998.7218364252</v>
      </c>
      <c r="CI4" s="300">
        <v>51711.5230649851</v>
      </c>
      <c r="CJ4" s="300">
        <v>51203.69272243501</v>
      </c>
      <c r="CK4" s="300">
        <v>50950.90797786499</v>
      </c>
      <c r="CL4" s="300">
        <v>50660.5645170049</v>
      </c>
      <c r="CM4" s="300">
        <v>50566.88696483482</v>
      </c>
      <c r="CN4" s="300">
        <v>50352.07024750481</v>
      </c>
      <c r="CO4" s="300">
        <v>50289.94778298474</v>
      </c>
      <c r="CP4" s="300">
        <v>49988.486147304786</v>
      </c>
      <c r="CQ4" s="300">
        <v>49865.55032483478</v>
      </c>
      <c r="CR4" s="300">
        <v>50361.276051814675</v>
      </c>
      <c r="CS4" s="300">
        <v>50756.10437825439</v>
      </c>
      <c r="CT4" s="300">
        <v>50652.38441814418</v>
      </c>
      <c r="CU4" s="300">
        <v>50535.76894431408</v>
      </c>
      <c r="CV4" s="300">
        <v>50027.61616512808</v>
      </c>
      <c r="CW4" s="300">
        <v>49414.81736305797</v>
      </c>
      <c r="CX4" s="300">
        <v>48780.79337981798</v>
      </c>
      <c r="CY4" s="300">
        <v>48519.48396786788</v>
      </c>
      <c r="CZ4" s="300">
        <v>48295.68703486887</v>
      </c>
      <c r="DA4" s="300">
        <v>48204.99295379786</v>
      </c>
      <c r="DB4" s="300">
        <v>47823.84724545785</v>
      </c>
      <c r="DC4" s="300">
        <v>47442.49123927587</v>
      </c>
      <c r="DD4" s="300">
        <v>47642.610128302666</v>
      </c>
      <c r="DE4" s="300">
        <v>48111.110462856646</v>
      </c>
      <c r="DF4" s="301">
        <v>48697</v>
      </c>
      <c r="DG4" s="301">
        <v>48353</v>
      </c>
      <c r="DH4" s="301">
        <v>47805</v>
      </c>
      <c r="DI4" s="301">
        <v>47325</v>
      </c>
      <c r="DJ4" s="302">
        <v>46929</v>
      </c>
      <c r="DK4" s="302">
        <v>46890</v>
      </c>
      <c r="DL4" s="313">
        <v>46666.592387502875</v>
      </c>
      <c r="DM4" s="300">
        <v>46724</v>
      </c>
      <c r="DN4" s="300">
        <v>46338.81614142588</v>
      </c>
      <c r="DO4" s="314">
        <v>46025.54638010886</v>
      </c>
      <c r="DP4" s="314">
        <v>46287.86895740386</v>
      </c>
      <c r="DQ4" s="314">
        <v>46640.599585567856</v>
      </c>
      <c r="DR4" s="501">
        <v>47280.88194116687</v>
      </c>
      <c r="DS4" s="501">
        <v>47200.18806302185</v>
      </c>
      <c r="DT4" s="501">
        <v>47424.59426636395</v>
      </c>
      <c r="DU4" s="501">
        <v>47256.15397288296</v>
      </c>
      <c r="DV4" s="502">
        <v>46833.18290061896</v>
      </c>
      <c r="DW4" s="502">
        <v>46203.12180897807</v>
      </c>
      <c r="DX4" s="314">
        <v>46156.661252585</v>
      </c>
      <c r="DY4" s="314">
        <v>46063.91860550706</v>
      </c>
      <c r="DZ4" s="314">
        <v>45858.14328181006</v>
      </c>
      <c r="EA4" s="314">
        <v>45734.231195316046</v>
      </c>
      <c r="EB4" s="314">
        <v>46188.04633067505</v>
      </c>
      <c r="EC4" s="314">
        <v>46765.051957086056</v>
      </c>
      <c r="ED4" s="300">
        <v>47090.224671608055</v>
      </c>
      <c r="EE4" s="300">
        <v>47240.19188555806</v>
      </c>
      <c r="EF4" s="300">
        <v>46889.64619979606</v>
      </c>
      <c r="EG4" s="300">
        <v>46749.87755287307</v>
      </c>
      <c r="EH4" s="300">
        <v>46040</v>
      </c>
      <c r="EI4" s="724">
        <v>45690.5558347183</v>
      </c>
      <c r="EJ4" s="724">
        <v>45775</v>
      </c>
      <c r="EK4" s="725">
        <v>45782.82991532436</v>
      </c>
      <c r="EL4" s="724">
        <v>45415.12156197235</v>
      </c>
      <c r="EM4" s="724">
        <v>45282.80224039336</v>
      </c>
      <c r="EN4" s="724">
        <v>45510.453157616364</v>
      </c>
      <c r="EO4" s="724">
        <v>46520.65382210865</v>
      </c>
      <c r="EP4" s="501">
        <v>46921.62312537766</v>
      </c>
      <c r="EQ4" s="501">
        <v>46909.590538204655</v>
      </c>
      <c r="ER4" s="501">
        <v>46766.33991663064</v>
      </c>
      <c r="ES4" s="724">
        <v>45819.36059469774</v>
      </c>
      <c r="ET4" s="724">
        <v>45401.70566172571</v>
      </c>
      <c r="EU4" s="724">
        <v>45181.66111109771</v>
      </c>
      <c r="EV4" s="953">
        <v>44861</v>
      </c>
      <c r="EW4" s="953">
        <v>44792.87014521713</v>
      </c>
      <c r="EX4" s="954">
        <v>44523</v>
      </c>
      <c r="EY4" s="953">
        <v>44354</v>
      </c>
      <c r="EZ4" s="1396">
        <v>44615.281137212354</v>
      </c>
      <c r="FA4" s="954">
        <v>45223.36455845852</v>
      </c>
    </row>
    <row r="5" spans="1:157" ht="40.5" customHeight="1">
      <c r="A5" s="743" t="s">
        <v>57</v>
      </c>
      <c r="B5" s="300">
        <v>4419.079</v>
      </c>
      <c r="C5" s="300">
        <v>4655.67</v>
      </c>
      <c r="D5" s="300">
        <v>4686.289</v>
      </c>
      <c r="E5" s="300">
        <v>4778.906</v>
      </c>
      <c r="F5" s="300">
        <v>4940.587</v>
      </c>
      <c r="G5" s="300">
        <v>5201.225</v>
      </c>
      <c r="H5" s="300">
        <v>5353.802</v>
      </c>
      <c r="I5" s="300">
        <v>5591.138</v>
      </c>
      <c r="J5" s="300">
        <v>5680.699</v>
      </c>
      <c r="K5" s="300">
        <v>5992.705871506</v>
      </c>
      <c r="L5" s="300">
        <v>6843.868509108</v>
      </c>
      <c r="M5" s="300">
        <v>7086.262509108</v>
      </c>
      <c r="N5" s="300">
        <v>6894.911760367998</v>
      </c>
      <c r="O5" s="300">
        <v>7136.099131267999</v>
      </c>
      <c r="P5" s="300">
        <v>6973.449823393459</v>
      </c>
      <c r="Q5" s="300">
        <v>7274.964722171414</v>
      </c>
      <c r="R5" s="300">
        <v>6978.268618120766</v>
      </c>
      <c r="S5" s="300">
        <v>7490.187915751311</v>
      </c>
      <c r="T5" s="300">
        <v>7766.381117967509</v>
      </c>
      <c r="U5" s="300">
        <v>8010.226554929153</v>
      </c>
      <c r="V5" s="300">
        <v>8312.719867927</v>
      </c>
      <c r="W5" s="300">
        <v>8558.46150655877</v>
      </c>
      <c r="X5" s="300">
        <v>8749.710777537972</v>
      </c>
      <c r="Y5" s="300">
        <v>8738.014076818126</v>
      </c>
      <c r="Z5" s="300">
        <v>8630.850483259826</v>
      </c>
      <c r="AA5" s="300">
        <v>8625.048608156827</v>
      </c>
      <c r="AB5" s="300">
        <v>8849.614167564827</v>
      </c>
      <c r="AC5" s="300">
        <v>8548.530608755726</v>
      </c>
      <c r="AD5" s="300">
        <v>8566.482150426198</v>
      </c>
      <c r="AE5" s="300">
        <v>8675.368254107274</v>
      </c>
      <c r="AF5" s="300">
        <v>8629.640320624701</v>
      </c>
      <c r="AG5" s="300">
        <v>8689.431112208174</v>
      </c>
      <c r="AH5" s="300">
        <v>8819.524856836824</v>
      </c>
      <c r="AI5" s="300">
        <v>8752.79001279525</v>
      </c>
      <c r="AJ5" s="300">
        <v>8919.808750250031</v>
      </c>
      <c r="AK5" s="300">
        <v>9138.379076818128</v>
      </c>
      <c r="AL5" s="300">
        <v>9422.377256959488</v>
      </c>
      <c r="AM5" s="300">
        <v>9600.824447255822</v>
      </c>
      <c r="AN5" s="300">
        <v>9795.839558314692</v>
      </c>
      <c r="AO5" s="300">
        <v>9781.79293648891</v>
      </c>
      <c r="AP5" s="300">
        <v>9893.4920724906</v>
      </c>
      <c r="AQ5" s="300">
        <v>10252.300454784003</v>
      </c>
      <c r="AR5" s="300">
        <v>10318.090462912422</v>
      </c>
      <c r="AS5" s="300">
        <v>10486.967690261326</v>
      </c>
      <c r="AT5" s="300">
        <v>10419.190986909029</v>
      </c>
      <c r="AU5" s="300">
        <v>10320.73410047903</v>
      </c>
      <c r="AV5" s="300">
        <v>10192.057024428832</v>
      </c>
      <c r="AW5" s="300">
        <v>10148.932411263826</v>
      </c>
      <c r="AX5" s="300">
        <v>10067.133129003829</v>
      </c>
      <c r="AY5" s="300">
        <v>10072.680752628856</v>
      </c>
      <c r="AZ5" s="300">
        <v>10132.983664161686</v>
      </c>
      <c r="BA5" s="300">
        <v>10228.180642081716</v>
      </c>
      <c r="BB5" s="300">
        <v>10256.641407161713</v>
      </c>
      <c r="BC5" s="300">
        <v>10408.41224493059</v>
      </c>
      <c r="BD5" s="300">
        <v>10534.795519994901</v>
      </c>
      <c r="BE5" s="300">
        <v>10744.467780845893</v>
      </c>
      <c r="BF5" s="300">
        <v>10649.051306085892</v>
      </c>
      <c r="BG5" s="300">
        <v>10649.051306085892</v>
      </c>
      <c r="BH5" s="300">
        <v>10649.051306085892</v>
      </c>
      <c r="BI5" s="300">
        <v>10649.051306085892</v>
      </c>
      <c r="BJ5" s="300">
        <v>10123.899538765898</v>
      </c>
      <c r="BK5" s="300">
        <v>10407.872440395895</v>
      </c>
      <c r="BL5" s="300">
        <v>10645.015082915894</v>
      </c>
      <c r="BM5" s="300">
        <v>10649.364167295891</v>
      </c>
      <c r="BN5" s="300">
        <v>10632.769927725893</v>
      </c>
      <c r="BO5" s="300">
        <v>10781.101696288391</v>
      </c>
      <c r="BP5" s="300">
        <v>11076.221861128399</v>
      </c>
      <c r="BQ5" s="300">
        <v>11208.233549808401</v>
      </c>
      <c r="BR5" s="300">
        <v>11066.20647245839</v>
      </c>
      <c r="BS5" s="300">
        <v>10758.64206063839</v>
      </c>
      <c r="BT5" s="300">
        <v>10883.548488108388</v>
      </c>
      <c r="BU5" s="300">
        <v>11104.827777918392</v>
      </c>
      <c r="BV5" s="300">
        <v>10993.461526968294</v>
      </c>
      <c r="BW5" s="300">
        <v>10978.833882088265</v>
      </c>
      <c r="BX5" s="300">
        <v>11019.001886728072</v>
      </c>
      <c r="BY5" s="300">
        <v>11091.406700228064</v>
      </c>
      <c r="BZ5" s="300">
        <v>10344.174760418213</v>
      </c>
      <c r="CA5" s="300">
        <v>10720.719597608217</v>
      </c>
      <c r="CB5" s="300">
        <v>10950.716643568225</v>
      </c>
      <c r="CC5" s="300">
        <v>10884.905572238222</v>
      </c>
      <c r="CD5" s="300">
        <v>10746.585391117647</v>
      </c>
      <c r="CE5" s="300">
        <v>10561.020907137654</v>
      </c>
      <c r="CF5" s="300">
        <v>10800.215850447617</v>
      </c>
      <c r="CG5" s="300">
        <v>11097.709981347612</v>
      </c>
      <c r="CH5" s="300">
        <v>10996.03373192751</v>
      </c>
      <c r="CI5" s="300">
        <v>10996.088131986804</v>
      </c>
      <c r="CJ5" s="300">
        <v>10906.783579636804</v>
      </c>
      <c r="CK5" s="300">
        <v>10989.744985396785</v>
      </c>
      <c r="CL5" s="300">
        <v>10909.988376466383</v>
      </c>
      <c r="CM5" s="300">
        <v>11137.850243936382</v>
      </c>
      <c r="CN5" s="300">
        <v>11479.719709596387</v>
      </c>
      <c r="CO5" s="300">
        <v>11599.266245896386</v>
      </c>
      <c r="CP5" s="300">
        <v>11264.206458176383</v>
      </c>
      <c r="CQ5" s="300">
        <v>11021.430911476382</v>
      </c>
      <c r="CR5" s="300">
        <v>11120.64479019634</v>
      </c>
      <c r="CS5" s="300">
        <v>11447.17913869087</v>
      </c>
      <c r="CT5" s="300">
        <v>11141.227666708877</v>
      </c>
      <c r="CU5" s="300">
        <v>11189.977996815875</v>
      </c>
      <c r="CV5" s="300">
        <v>11192.863982980873</v>
      </c>
      <c r="CW5" s="300">
        <v>10893.22786306987</v>
      </c>
      <c r="CX5" s="300">
        <v>10928.96678149987</v>
      </c>
      <c r="CY5" s="300">
        <v>11179.650128491872</v>
      </c>
      <c r="CZ5" s="300">
        <v>11439.427612642914</v>
      </c>
      <c r="DA5" s="300">
        <v>11589.649297888916</v>
      </c>
      <c r="DB5" s="300">
        <v>11468.795878702913</v>
      </c>
      <c r="DC5" s="300">
        <v>11102.186424219708</v>
      </c>
      <c r="DD5" s="300">
        <v>11235.28776926891</v>
      </c>
      <c r="DE5" s="300">
        <v>11445.547106006921</v>
      </c>
      <c r="DF5" s="302">
        <v>11327</v>
      </c>
      <c r="DG5" s="302">
        <v>11235</v>
      </c>
      <c r="DH5" s="302">
        <v>11122</v>
      </c>
      <c r="DI5" s="302">
        <v>11088</v>
      </c>
      <c r="DJ5" s="302">
        <v>11032</v>
      </c>
      <c r="DK5" s="302">
        <v>11432</v>
      </c>
      <c r="DL5" s="313">
        <v>11555.484265781906</v>
      </c>
      <c r="DM5" s="315">
        <v>11432</v>
      </c>
      <c r="DN5" s="300">
        <v>11435.193202756003</v>
      </c>
      <c r="DO5" s="314">
        <v>11118.200383317999</v>
      </c>
      <c r="DP5" s="314">
        <v>11252.890550192993</v>
      </c>
      <c r="DQ5" s="314">
        <v>11304.491888938002</v>
      </c>
      <c r="DR5" s="501">
        <v>11163.673072363004</v>
      </c>
      <c r="DS5" s="501">
        <v>11268.080721964005</v>
      </c>
      <c r="DT5" s="501">
        <v>11075.543816160005</v>
      </c>
      <c r="DU5" s="501">
        <v>10710.254445879005</v>
      </c>
      <c r="DV5" s="502">
        <v>10631.507762399004</v>
      </c>
      <c r="DW5" s="502">
        <v>10880.092204702005</v>
      </c>
      <c r="DX5" s="314">
        <v>11415.058096407998</v>
      </c>
      <c r="DY5" s="314">
        <v>11474.738220775007</v>
      </c>
      <c r="DZ5" s="314">
        <v>11373.281631008107</v>
      </c>
      <c r="EA5" s="314">
        <v>11066.183673085108</v>
      </c>
      <c r="EB5" s="314">
        <v>11109.75753773611</v>
      </c>
      <c r="EC5" s="314">
        <v>11100.182716558098</v>
      </c>
      <c r="ED5" s="300">
        <v>11076.090446487096</v>
      </c>
      <c r="EE5" s="300">
        <v>11142.333075253095</v>
      </c>
      <c r="EF5" s="300">
        <v>11032.667056538197</v>
      </c>
      <c r="EG5" s="300">
        <v>11097.251884093195</v>
      </c>
      <c r="EH5" s="300">
        <v>10862</v>
      </c>
      <c r="EI5" s="724">
        <v>11129.516020937386</v>
      </c>
      <c r="EJ5" s="724">
        <v>11669</v>
      </c>
      <c r="EK5" s="725">
        <v>11822.608140684388</v>
      </c>
      <c r="EL5" s="724">
        <v>11514.344239653587</v>
      </c>
      <c r="EM5" s="724">
        <v>11097.615660241585</v>
      </c>
      <c r="EN5" s="724">
        <v>11132.646776366986</v>
      </c>
      <c r="EO5" s="724">
        <v>11392.862706987984</v>
      </c>
      <c r="EP5" s="501">
        <v>11677.509748685086</v>
      </c>
      <c r="EQ5" s="501">
        <v>12007.538785438082</v>
      </c>
      <c r="ER5" s="501">
        <v>11899.731626275086</v>
      </c>
      <c r="ES5" s="724">
        <v>11617.673719048087</v>
      </c>
      <c r="ET5" s="724">
        <v>11729.26286024009</v>
      </c>
      <c r="EU5" s="724">
        <v>12084.416886360186</v>
      </c>
      <c r="EV5" s="953">
        <v>12079.804561950292</v>
      </c>
      <c r="EW5" s="953">
        <v>12028.014725631288</v>
      </c>
      <c r="EX5" s="954">
        <v>11782</v>
      </c>
      <c r="EY5" s="953">
        <v>11538</v>
      </c>
      <c r="EZ5" s="1396">
        <v>11589.486760851245</v>
      </c>
      <c r="FA5" s="954">
        <v>11712.249339979977</v>
      </c>
    </row>
    <row r="6" spans="1:157" ht="40.5" customHeight="1">
      <c r="A6" s="743" t="s">
        <v>1089</v>
      </c>
      <c r="B6" s="300">
        <v>1274.107</v>
      </c>
      <c r="C6" s="300">
        <v>1394.801</v>
      </c>
      <c r="D6" s="300">
        <v>1353.539</v>
      </c>
      <c r="E6" s="300">
        <v>1321.738</v>
      </c>
      <c r="F6" s="300">
        <v>1247.314</v>
      </c>
      <c r="G6" s="300">
        <v>1250.048</v>
      </c>
      <c r="H6" s="300">
        <v>1294.721</v>
      </c>
      <c r="I6" s="300">
        <v>1305.029</v>
      </c>
      <c r="J6" s="300">
        <v>1332.818</v>
      </c>
      <c r="K6" s="300">
        <v>1334.43360894</v>
      </c>
      <c r="L6" s="300">
        <v>1403.34065184</v>
      </c>
      <c r="M6" s="300">
        <v>1538.07065184</v>
      </c>
      <c r="N6" s="300">
        <v>1665.47988424</v>
      </c>
      <c r="O6" s="300">
        <v>1796.2443399099996</v>
      </c>
      <c r="P6" s="300">
        <v>1807.1385783842752</v>
      </c>
      <c r="Q6" s="300">
        <v>1872.875544506275</v>
      </c>
      <c r="R6" s="300">
        <v>1889.5805811560592</v>
      </c>
      <c r="S6" s="300">
        <v>1994.755958325504</v>
      </c>
      <c r="T6" s="300">
        <v>2076.394179515504</v>
      </c>
      <c r="U6" s="300">
        <v>2110.800656212959</v>
      </c>
      <c r="V6" s="300">
        <v>2421.4944688696683</v>
      </c>
      <c r="W6" s="300">
        <v>2433.1803921581654</v>
      </c>
      <c r="X6" s="300">
        <v>2618.089428978165</v>
      </c>
      <c r="Y6" s="300">
        <v>2840.5144625588996</v>
      </c>
      <c r="Z6" s="300">
        <v>2912.5519476088994</v>
      </c>
      <c r="AA6" s="300">
        <v>3002.7707337488996</v>
      </c>
      <c r="AB6" s="300">
        <v>3439.5958195188996</v>
      </c>
      <c r="AC6" s="300">
        <v>3077.6504643545104</v>
      </c>
      <c r="AD6" s="300">
        <v>3018.57601732919</v>
      </c>
      <c r="AE6" s="300">
        <v>3073.737466061889</v>
      </c>
      <c r="AF6" s="300">
        <v>3075.9902897353213</v>
      </c>
      <c r="AG6" s="300">
        <v>3097.7133064527375</v>
      </c>
      <c r="AH6" s="300">
        <v>3053.703462499259</v>
      </c>
      <c r="AI6" s="300">
        <v>3036.4052580497264</v>
      </c>
      <c r="AJ6" s="300">
        <v>3170.7176918864884</v>
      </c>
      <c r="AK6" s="300">
        <v>3222.881462558899</v>
      </c>
      <c r="AL6" s="300">
        <v>3533.840353281741</v>
      </c>
      <c r="AM6" s="300">
        <v>3686.353618729224</v>
      </c>
      <c r="AN6" s="300">
        <v>3780.4175449408185</v>
      </c>
      <c r="AO6" s="300">
        <v>3789.916373700818</v>
      </c>
      <c r="AP6" s="300">
        <v>3798.0815277709326</v>
      </c>
      <c r="AQ6" s="300">
        <v>3827.4677334333333</v>
      </c>
      <c r="AR6" s="300">
        <v>3921.575184347974</v>
      </c>
      <c r="AS6" s="300">
        <v>3896.776194967974</v>
      </c>
      <c r="AT6" s="300">
        <v>3904.936068267974</v>
      </c>
      <c r="AU6" s="300">
        <v>3913.321822965973</v>
      </c>
      <c r="AV6" s="300">
        <v>4001.134192875974</v>
      </c>
      <c r="AW6" s="300">
        <v>3886.3121846040367</v>
      </c>
      <c r="AX6" s="300">
        <v>4097.792334094035</v>
      </c>
      <c r="AY6" s="300">
        <v>4163.665879452035</v>
      </c>
      <c r="AZ6" s="300">
        <v>4282.172411992036</v>
      </c>
      <c r="BA6" s="300">
        <v>2899.3280784620365</v>
      </c>
      <c r="BB6" s="300">
        <v>4216.147530672037</v>
      </c>
      <c r="BC6" s="300">
        <v>3094.984094362035</v>
      </c>
      <c r="BD6" s="300">
        <v>3131.8351865092664</v>
      </c>
      <c r="BE6" s="300">
        <v>3180.622781939267</v>
      </c>
      <c r="BF6" s="300">
        <v>3222.225229339267</v>
      </c>
      <c r="BG6" s="300">
        <v>3222.225229339267</v>
      </c>
      <c r="BH6" s="300">
        <v>3222.225229339267</v>
      </c>
      <c r="BI6" s="300">
        <v>3222.225229339267</v>
      </c>
      <c r="BJ6" s="300">
        <v>2855.1415032892683</v>
      </c>
      <c r="BK6" s="300">
        <v>2928.859261759269</v>
      </c>
      <c r="BL6" s="300">
        <v>3016.999633109269</v>
      </c>
      <c r="BM6" s="300">
        <v>2594.626107659269</v>
      </c>
      <c r="BN6" s="300">
        <v>2054.6134737992697</v>
      </c>
      <c r="BO6" s="300">
        <v>2026.6106893542703</v>
      </c>
      <c r="BP6" s="300">
        <v>2032.5852427142709</v>
      </c>
      <c r="BQ6" s="300">
        <v>1727.6885111842696</v>
      </c>
      <c r="BR6" s="300">
        <v>1739.5775625842707</v>
      </c>
      <c r="BS6" s="300">
        <v>1767.2795251642708</v>
      </c>
      <c r="BT6" s="300">
        <v>1846.4532603642708</v>
      </c>
      <c r="BU6" s="300">
        <v>1914.9058016442702</v>
      </c>
      <c r="BV6" s="300">
        <v>2079.0238073242704</v>
      </c>
      <c r="BW6" s="300">
        <v>2055.68385082427</v>
      </c>
      <c r="BX6" s="300">
        <v>2091.60391869427</v>
      </c>
      <c r="BY6" s="300">
        <v>1964.15218450427</v>
      </c>
      <c r="BZ6" s="300">
        <v>1874.5922392742693</v>
      </c>
      <c r="CA6" s="300">
        <v>1859.5614680942695</v>
      </c>
      <c r="CB6" s="300">
        <v>1900.3469179042702</v>
      </c>
      <c r="CC6" s="300">
        <v>1957.8344653142706</v>
      </c>
      <c r="CD6" s="300">
        <v>1966.0648062842702</v>
      </c>
      <c r="CE6" s="300">
        <v>2047.80489939427</v>
      </c>
      <c r="CF6" s="300">
        <v>2186.932795904269</v>
      </c>
      <c r="CG6" s="300">
        <v>2263.6520810742686</v>
      </c>
      <c r="CH6" s="300">
        <v>2397.966648324269</v>
      </c>
      <c r="CI6" s="300">
        <v>2401.223436594268</v>
      </c>
      <c r="CJ6" s="300">
        <v>2328.3093202242685</v>
      </c>
      <c r="CK6" s="300">
        <v>2348.639735114269</v>
      </c>
      <c r="CL6" s="300">
        <v>2280.570283774269</v>
      </c>
      <c r="CM6" s="300">
        <v>2282.40596818427</v>
      </c>
      <c r="CN6" s="300">
        <v>2346.005902484269</v>
      </c>
      <c r="CO6" s="300">
        <v>2397.374362374268</v>
      </c>
      <c r="CP6" s="300">
        <v>2402.6721423842678</v>
      </c>
      <c r="CQ6" s="300">
        <v>2454.0728328542677</v>
      </c>
      <c r="CR6" s="300">
        <v>2608.06190960427</v>
      </c>
      <c r="CS6" s="300">
        <v>2741.0936565342713</v>
      </c>
      <c r="CT6" s="300">
        <v>2805.1053451242715</v>
      </c>
      <c r="CU6" s="300">
        <v>2746.9443310332717</v>
      </c>
      <c r="CV6" s="300">
        <v>2791.6237585832714</v>
      </c>
      <c r="CW6" s="300">
        <v>2690.1962767012706</v>
      </c>
      <c r="CX6" s="300">
        <v>2702.768073801271</v>
      </c>
      <c r="CY6" s="300">
        <v>2743.8573566452715</v>
      </c>
      <c r="CZ6" s="300">
        <v>2797.5580883692714</v>
      </c>
      <c r="DA6" s="300">
        <v>2868.4329212412717</v>
      </c>
      <c r="DB6" s="300">
        <v>2883.6903621312713</v>
      </c>
      <c r="DC6" s="300">
        <v>2921.0769712552715</v>
      </c>
      <c r="DD6" s="300">
        <v>3061.873080837271</v>
      </c>
      <c r="DE6" s="300">
        <v>3157.455601828567</v>
      </c>
      <c r="DF6" s="302">
        <v>3331</v>
      </c>
      <c r="DG6" s="302">
        <v>3348</v>
      </c>
      <c r="DH6" s="302">
        <v>3328</v>
      </c>
      <c r="DI6" s="302">
        <v>3328</v>
      </c>
      <c r="DJ6" s="302">
        <v>3372</v>
      </c>
      <c r="DK6" s="302">
        <v>3374</v>
      </c>
      <c r="DL6" s="313">
        <v>3389.0487921805666</v>
      </c>
      <c r="DM6" s="315">
        <v>3464</v>
      </c>
      <c r="DN6" s="300">
        <v>3504.2498115945673</v>
      </c>
      <c r="DO6" s="314">
        <v>3479.9968091715696</v>
      </c>
      <c r="DP6" s="314">
        <v>3584.7153713427692</v>
      </c>
      <c r="DQ6" s="314">
        <v>3681.2244357087707</v>
      </c>
      <c r="DR6" s="501">
        <v>3831.2902787807707</v>
      </c>
      <c r="DS6" s="501">
        <v>3823.3236126327706</v>
      </c>
      <c r="DT6" s="501">
        <v>3879.33951163677</v>
      </c>
      <c r="DU6" s="501">
        <v>3760.49938669877</v>
      </c>
      <c r="DV6" s="502">
        <v>3764.47018475877</v>
      </c>
      <c r="DW6" s="502">
        <v>3769.0680398727695</v>
      </c>
      <c r="DX6" s="314">
        <v>3822.89292498</v>
      </c>
      <c r="DY6" s="314">
        <v>3887.64044144877</v>
      </c>
      <c r="DZ6" s="314">
        <v>3922.4188894597696</v>
      </c>
      <c r="EA6" s="314">
        <v>3926.39199370577</v>
      </c>
      <c r="EB6" s="314">
        <v>4043.62295896677</v>
      </c>
      <c r="EC6" s="314">
        <v>4103.521262284769</v>
      </c>
      <c r="ED6" s="300">
        <v>4268.321411768769</v>
      </c>
      <c r="EE6" s="300">
        <v>4341.31956659677</v>
      </c>
      <c r="EF6" s="300">
        <v>4329.130388626769</v>
      </c>
      <c r="EG6" s="300">
        <v>4332.451285900769</v>
      </c>
      <c r="EH6" s="300">
        <v>4287</v>
      </c>
      <c r="EI6" s="724">
        <v>4307.829028370768</v>
      </c>
      <c r="EJ6" s="724">
        <v>4383</v>
      </c>
      <c r="EK6" s="725">
        <v>4616.509669396769</v>
      </c>
      <c r="EL6" s="724">
        <v>4526.824354722769</v>
      </c>
      <c r="EM6" s="724">
        <v>4614.049753238769</v>
      </c>
      <c r="EN6" s="724">
        <v>4661.700313926769</v>
      </c>
      <c r="EO6" s="724">
        <v>4760.53407001877</v>
      </c>
      <c r="EP6" s="501">
        <v>4958.30982589077</v>
      </c>
      <c r="EQ6" s="501">
        <v>5000.920212946769</v>
      </c>
      <c r="ER6" s="501">
        <v>4986.63422724477</v>
      </c>
      <c r="ES6" s="724">
        <v>4982.452730510771</v>
      </c>
      <c r="ET6" s="724">
        <v>4939.44749409477</v>
      </c>
      <c r="EU6" s="724">
        <v>4976.0829777527715</v>
      </c>
      <c r="EV6" s="953">
        <v>4997.38341269077</v>
      </c>
      <c r="EW6" s="953">
        <v>4898.008483158771</v>
      </c>
      <c r="EX6" s="954">
        <v>4725</v>
      </c>
      <c r="EY6" s="953">
        <v>4679</v>
      </c>
      <c r="EZ6" s="1396">
        <v>4735.720769139765</v>
      </c>
      <c r="FA6" s="954">
        <v>4787.092635790767</v>
      </c>
    </row>
    <row r="7" spans="1:157" ht="41.25" customHeight="1">
      <c r="A7" s="743" t="s">
        <v>1090</v>
      </c>
      <c r="B7" s="300">
        <v>2729.294</v>
      </c>
      <c r="C7" s="300">
        <v>2929.444</v>
      </c>
      <c r="D7" s="300">
        <v>2983.997</v>
      </c>
      <c r="E7" s="300">
        <v>2998.394</v>
      </c>
      <c r="F7" s="300">
        <v>3169.79</v>
      </c>
      <c r="G7" s="300">
        <v>3252.515</v>
      </c>
      <c r="H7" s="300">
        <v>3376.12</v>
      </c>
      <c r="I7" s="300">
        <v>1579.56</v>
      </c>
      <c r="J7" s="300">
        <v>1730.152</v>
      </c>
      <c r="K7" s="300">
        <v>1936.6452575000003</v>
      </c>
      <c r="L7" s="300">
        <v>2129.568670172</v>
      </c>
      <c r="M7" s="300">
        <v>2269.0626701720003</v>
      </c>
      <c r="N7" s="300">
        <v>2540.090781272</v>
      </c>
      <c r="O7" s="300">
        <v>2729.5961579520003</v>
      </c>
      <c r="P7" s="300">
        <v>2772.21143851934</v>
      </c>
      <c r="Q7" s="300">
        <v>3038.93417201534</v>
      </c>
      <c r="R7" s="300">
        <v>2844.1636007316624</v>
      </c>
      <c r="S7" s="300">
        <v>2773.6318501547066</v>
      </c>
      <c r="T7" s="300">
        <v>2914.0946872853056</v>
      </c>
      <c r="U7" s="300">
        <v>2660.802963800287</v>
      </c>
      <c r="V7" s="300">
        <v>2929.4024624762988</v>
      </c>
      <c r="W7" s="300">
        <v>3204.6156281612693</v>
      </c>
      <c r="X7" s="300">
        <v>3403.7800295212696</v>
      </c>
      <c r="Y7" s="300">
        <v>3516.019413471269</v>
      </c>
      <c r="Z7" s="300">
        <v>3544.896376851269</v>
      </c>
      <c r="AA7" s="300">
        <v>3694.5990140612694</v>
      </c>
      <c r="AB7" s="300">
        <v>3804.2441403512694</v>
      </c>
      <c r="AC7" s="300">
        <v>3891.3143189305174</v>
      </c>
      <c r="AD7" s="300">
        <v>3861.790115263794</v>
      </c>
      <c r="AE7" s="300">
        <v>3694.087382807469</v>
      </c>
      <c r="AF7" s="300">
        <v>3858.855983542462</v>
      </c>
      <c r="AG7" s="300">
        <v>3830.2597810269135</v>
      </c>
      <c r="AH7" s="300">
        <v>4033.4112638095803</v>
      </c>
      <c r="AI7" s="300">
        <v>3941.935974988496</v>
      </c>
      <c r="AJ7" s="300">
        <v>3808.608615629257</v>
      </c>
      <c r="AK7" s="300">
        <v>3687.7154134712696</v>
      </c>
      <c r="AL7" s="300">
        <v>4010.85124526436</v>
      </c>
      <c r="AM7" s="300">
        <v>4081.2236423716918</v>
      </c>
      <c r="AN7" s="300">
        <v>3960.580802531631</v>
      </c>
      <c r="AO7" s="300">
        <v>3945.030913365631</v>
      </c>
      <c r="AP7" s="300">
        <v>4058.2221183839106</v>
      </c>
      <c r="AQ7" s="300">
        <v>4136.65393465858</v>
      </c>
      <c r="AR7" s="300">
        <v>4307.378110259381</v>
      </c>
      <c r="AS7" s="300">
        <v>4585.11162780938</v>
      </c>
      <c r="AT7" s="300">
        <v>4718.167561829379</v>
      </c>
      <c r="AU7" s="300">
        <v>4779.839346249381</v>
      </c>
      <c r="AV7" s="300">
        <v>4871.00792817938</v>
      </c>
      <c r="AW7" s="300">
        <v>5026.08252575938</v>
      </c>
      <c r="AX7" s="300">
        <v>5187.731251539379</v>
      </c>
      <c r="AY7" s="300">
        <v>5291.89571123938</v>
      </c>
      <c r="AZ7" s="300">
        <v>5469.821473389378</v>
      </c>
      <c r="BA7" s="300">
        <v>3086.68883686938</v>
      </c>
      <c r="BB7" s="300">
        <v>5472.527237999379</v>
      </c>
      <c r="BC7" s="300">
        <v>3493.67050726938</v>
      </c>
      <c r="BD7" s="300">
        <v>3613.59747866938</v>
      </c>
      <c r="BE7" s="300">
        <v>3725.5440078393813</v>
      </c>
      <c r="BF7" s="300">
        <v>3061.3443204093815</v>
      </c>
      <c r="BG7" s="300">
        <v>3061.3443204093815</v>
      </c>
      <c r="BH7" s="300">
        <v>3061.3443204093815</v>
      </c>
      <c r="BI7" s="300">
        <v>3061.3443204093815</v>
      </c>
      <c r="BJ7" s="300">
        <v>3141.9316852993816</v>
      </c>
      <c r="BK7" s="300">
        <v>3349.3425339193823</v>
      </c>
      <c r="BL7" s="300">
        <v>3575.150025689382</v>
      </c>
      <c r="BM7" s="300">
        <v>2813.6706276793816</v>
      </c>
      <c r="BN7" s="300">
        <v>1576.6695348593807</v>
      </c>
      <c r="BO7" s="300">
        <v>1729.3700761193804</v>
      </c>
      <c r="BP7" s="300">
        <v>1900.1986638893816</v>
      </c>
      <c r="BQ7" s="300">
        <v>2074.176660039382</v>
      </c>
      <c r="BR7" s="300">
        <v>2327.8266876193825</v>
      </c>
      <c r="BS7" s="300">
        <v>2511.755116019382</v>
      </c>
      <c r="BT7" s="300">
        <v>2746.850019689382</v>
      </c>
      <c r="BU7" s="300">
        <v>2981.299054049382</v>
      </c>
      <c r="BV7" s="300">
        <v>3063.2486381293825</v>
      </c>
      <c r="BW7" s="300">
        <v>3313.8909339293823</v>
      </c>
      <c r="BX7" s="300">
        <v>3566.7585986593826</v>
      </c>
      <c r="BY7" s="300">
        <v>3821.1430423293828</v>
      </c>
      <c r="BZ7" s="300">
        <v>3792.656541399383</v>
      </c>
      <c r="CA7" s="300">
        <v>4022.1137628793826</v>
      </c>
      <c r="CB7" s="300">
        <v>4334.535643049384</v>
      </c>
      <c r="CC7" s="300">
        <v>4660.356794799382</v>
      </c>
      <c r="CD7" s="300">
        <v>4933.0029185193835</v>
      </c>
      <c r="CE7" s="300">
        <v>5252.269124179384</v>
      </c>
      <c r="CF7" s="300">
        <v>5514.918570379382</v>
      </c>
      <c r="CG7" s="300">
        <v>5775.6418584293815</v>
      </c>
      <c r="CH7" s="300">
        <v>6056.849668229382</v>
      </c>
      <c r="CI7" s="300">
        <v>6239.345847849382</v>
      </c>
      <c r="CJ7" s="300">
        <v>6425.208359499382</v>
      </c>
      <c r="CK7" s="300">
        <v>6574.6509106293815</v>
      </c>
      <c r="CL7" s="300">
        <v>6547.413636949382</v>
      </c>
      <c r="CM7" s="300">
        <v>6800.461408499382</v>
      </c>
      <c r="CN7" s="300">
        <v>7143.073705199381</v>
      </c>
      <c r="CO7" s="300">
        <v>7374.959024619381</v>
      </c>
      <c r="CP7" s="300">
        <v>7497.322653759381</v>
      </c>
      <c r="CQ7" s="300">
        <v>7706.54437768938</v>
      </c>
      <c r="CR7" s="300">
        <v>7941.542908669382</v>
      </c>
      <c r="CS7" s="300">
        <v>7904.306860519381</v>
      </c>
      <c r="CT7" s="300">
        <v>8071.088044169382</v>
      </c>
      <c r="CU7" s="300">
        <v>8199.019190285382</v>
      </c>
      <c r="CV7" s="300">
        <v>8323.902589635381</v>
      </c>
      <c r="CW7" s="300">
        <v>8390.165006615382</v>
      </c>
      <c r="CX7" s="300">
        <v>8492.081750149382</v>
      </c>
      <c r="CY7" s="300">
        <v>8699.04312701938</v>
      </c>
      <c r="CZ7" s="300">
        <v>8788.245060067382</v>
      </c>
      <c r="DA7" s="300">
        <v>8944.981057537383</v>
      </c>
      <c r="DB7" s="300">
        <v>9078.662155983382</v>
      </c>
      <c r="DC7" s="300">
        <v>9275.258580033382</v>
      </c>
      <c r="DD7" s="300">
        <v>9330.889103837382</v>
      </c>
      <c r="DE7" s="300">
        <v>9182.59496053138</v>
      </c>
      <c r="DF7" s="302">
        <v>9239</v>
      </c>
      <c r="DG7" s="302">
        <v>9264</v>
      </c>
      <c r="DH7" s="302">
        <v>9603</v>
      </c>
      <c r="DI7" s="302">
        <v>9675</v>
      </c>
      <c r="DJ7" s="302">
        <v>9876</v>
      </c>
      <c r="DK7" s="302">
        <v>10067</v>
      </c>
      <c r="DL7" s="313">
        <v>10275.57260435638</v>
      </c>
      <c r="DM7" s="315">
        <v>10409</v>
      </c>
      <c r="DN7" s="300">
        <v>10543.77834845238</v>
      </c>
      <c r="DO7" s="314">
        <v>10738.098096940379</v>
      </c>
      <c r="DP7" s="314">
        <v>11052.639920912381</v>
      </c>
      <c r="DQ7" s="314">
        <v>10947.35808737238</v>
      </c>
      <c r="DR7" s="501">
        <v>11094.17775098238</v>
      </c>
      <c r="DS7" s="501">
        <v>11225.463390264382</v>
      </c>
      <c r="DT7" s="501">
        <v>11537.22788447638</v>
      </c>
      <c r="DU7" s="501">
        <v>11740.809780784382</v>
      </c>
      <c r="DV7" s="502">
        <v>12005.109351884383</v>
      </c>
      <c r="DW7" s="502">
        <v>12153.181051483381</v>
      </c>
      <c r="DX7" s="314">
        <v>12471.224872534001</v>
      </c>
      <c r="DY7" s="314">
        <v>12718.505616307384</v>
      </c>
      <c r="DZ7" s="314">
        <v>12846.982010319382</v>
      </c>
      <c r="EA7" s="314">
        <v>13063.948626535383</v>
      </c>
      <c r="EB7" s="314">
        <v>13330.56400328938</v>
      </c>
      <c r="EC7" s="314">
        <v>13640.899803443383</v>
      </c>
      <c r="ED7" s="300">
        <v>13837.857023071385</v>
      </c>
      <c r="EE7" s="300">
        <v>14102.563384047384</v>
      </c>
      <c r="EF7" s="300">
        <v>14354.376162731383</v>
      </c>
      <c r="EG7" s="300">
        <v>14639.186498293386</v>
      </c>
      <c r="EH7" s="300">
        <v>14934</v>
      </c>
      <c r="EI7" s="724">
        <v>14796.766637425386</v>
      </c>
      <c r="EJ7" s="724">
        <v>15097</v>
      </c>
      <c r="EK7" s="725">
        <v>15256.133674285382</v>
      </c>
      <c r="EL7" s="724">
        <v>15476.959517419387</v>
      </c>
      <c r="EM7" s="724">
        <v>15290.074835225385</v>
      </c>
      <c r="EN7" s="724">
        <v>15400.040144949382</v>
      </c>
      <c r="EO7" s="724">
        <v>15720.363373763383</v>
      </c>
      <c r="EP7" s="501">
        <v>15880.050201433383</v>
      </c>
      <c r="EQ7" s="501">
        <v>16370.796035911382</v>
      </c>
      <c r="ER7" s="501">
        <v>16773.583912213384</v>
      </c>
      <c r="ES7" s="724">
        <v>17197.90961673938</v>
      </c>
      <c r="ET7" s="724">
        <v>17765.795472553382</v>
      </c>
      <c r="EU7" s="724">
        <v>18092.21225643938</v>
      </c>
      <c r="EV7" s="953">
        <v>18067.548862767384</v>
      </c>
      <c r="EW7" s="953">
        <v>18072.776584895382</v>
      </c>
      <c r="EX7" s="954">
        <v>18185</v>
      </c>
      <c r="EY7" s="953">
        <v>18059</v>
      </c>
      <c r="EZ7" s="1397">
        <v>18201.34002497138</v>
      </c>
      <c r="FA7" s="954">
        <v>18187.545653173376</v>
      </c>
    </row>
    <row r="8" spans="98:156" ht="9"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9"/>
      <c r="DL8" s="320"/>
      <c r="EZ8" s="1398"/>
    </row>
    <row r="9" spans="139:151" ht="9.75">
      <c r="EI9" s="461"/>
      <c r="EJ9" s="505"/>
      <c r="EK9" s="505"/>
      <c r="EL9" s="505"/>
      <c r="EM9" s="505"/>
      <c r="ER9" s="461"/>
      <c r="ES9" s="461"/>
      <c r="ET9" s="461"/>
      <c r="EU9" s="461"/>
    </row>
    <row r="10" spans="139:161" ht="9.75">
      <c r="EI10" s="506"/>
      <c r="EJ10" s="504"/>
      <c r="EK10" s="504"/>
      <c r="EL10" s="504"/>
      <c r="EM10" s="504"/>
      <c r="ER10" s="506"/>
      <c r="ES10" s="504"/>
      <c r="ET10" s="504"/>
      <c r="EU10" s="504"/>
      <c r="FC10" s="1391" t="s">
        <v>55</v>
      </c>
      <c r="FD10" s="1392">
        <v>45223364.558458515</v>
      </c>
      <c r="FE10" s="1394">
        <v>45223.36455845852</v>
      </c>
    </row>
    <row r="11" spans="139:161" ht="9.75">
      <c r="EI11" s="506"/>
      <c r="EJ11" s="504"/>
      <c r="EK11" s="504"/>
      <c r="EL11" s="504"/>
      <c r="EM11" s="504"/>
      <c r="ER11" s="506"/>
      <c r="ES11" s="504"/>
      <c r="ET11" s="504"/>
      <c r="EU11" s="504"/>
      <c r="FC11" s="1391" t="s">
        <v>1309</v>
      </c>
      <c r="FD11" s="1392">
        <v>11712249.339979976</v>
      </c>
      <c r="FE11" s="1394">
        <v>11712.249339979977</v>
      </c>
    </row>
    <row r="12" spans="139:161" ht="9.75">
      <c r="EI12" s="506"/>
      <c r="EJ12" s="504"/>
      <c r="EK12" s="504"/>
      <c r="EL12" s="504"/>
      <c r="EM12" s="504"/>
      <c r="ER12" s="506"/>
      <c r="ES12" s="504"/>
      <c r="ET12" s="504"/>
      <c r="EU12" s="504"/>
      <c r="FC12" s="1391" t="s">
        <v>54</v>
      </c>
      <c r="FD12" s="1392">
        <v>4787092.635790767</v>
      </c>
      <c r="FE12" s="1394">
        <v>4787.092635790767</v>
      </c>
    </row>
    <row r="13" spans="139:161" ht="9.75">
      <c r="EI13" s="506"/>
      <c r="EJ13" s="504"/>
      <c r="EK13" s="504"/>
      <c r="EL13" s="504"/>
      <c r="EM13" s="504"/>
      <c r="ER13" s="506"/>
      <c r="ES13" s="504"/>
      <c r="ET13" s="504"/>
      <c r="EU13" s="504"/>
      <c r="FC13" s="1391" t="s">
        <v>1310</v>
      </c>
      <c r="FD13" s="1392">
        <v>18187545.653173376</v>
      </c>
      <c r="FE13" s="1394">
        <v>18187.5456531734</v>
      </c>
    </row>
    <row r="14" spans="139:161" ht="10.5" thickBot="1">
      <c r="EI14" s="507"/>
      <c r="EJ14" s="508"/>
      <c r="EK14" s="508"/>
      <c r="EL14" s="508"/>
      <c r="EM14" s="508"/>
      <c r="ER14" s="461"/>
      <c r="ES14" s="508"/>
      <c r="ET14" s="508"/>
      <c r="EU14" s="508"/>
      <c r="FC14" s="246" t="s">
        <v>1425</v>
      </c>
      <c r="FD14" s="1393">
        <v>79910252.18740267</v>
      </c>
      <c r="FE14" s="1394">
        <v>79910.25218740267</v>
      </c>
    </row>
    <row r="15" spans="139:151" ht="9">
      <c r="EI15" s="509"/>
      <c r="EJ15" s="509"/>
      <c r="EK15" s="509"/>
      <c r="EL15" s="509"/>
      <c r="EM15" s="509"/>
      <c r="ER15" s="509"/>
      <c r="ES15" s="509"/>
      <c r="ET15" s="509"/>
      <c r="EU15" s="509"/>
    </row>
    <row r="16" spans="139:151" ht="9">
      <c r="EI16" s="509"/>
      <c r="EJ16" s="509"/>
      <c r="EK16" s="509"/>
      <c r="EL16" s="509"/>
      <c r="EM16" s="509"/>
      <c r="ER16" s="509"/>
      <c r="ES16" s="509"/>
      <c r="ET16" s="509"/>
      <c r="EU16" s="509"/>
    </row>
    <row r="17" spans="139:161" ht="9.75">
      <c r="EI17" s="510"/>
      <c r="EJ17" s="511"/>
      <c r="EK17" s="511"/>
      <c r="EL17" s="511"/>
      <c r="EM17" s="511"/>
      <c r="ER17" s="506"/>
      <c r="ES17" s="672"/>
      <c r="ET17" s="672"/>
      <c r="EU17" s="672"/>
      <c r="FD17" s="1392">
        <v>44615281.13721235</v>
      </c>
      <c r="FE17" s="1395">
        <v>44615.281137212354</v>
      </c>
    </row>
    <row r="18" spans="139:161" ht="9.75">
      <c r="EI18" s="510"/>
      <c r="EJ18" s="511"/>
      <c r="EK18" s="511"/>
      <c r="EL18" s="511"/>
      <c r="EM18" s="511"/>
      <c r="ER18" s="506"/>
      <c r="ES18" s="672"/>
      <c r="ET18" s="672"/>
      <c r="EU18" s="672"/>
      <c r="FD18" s="1392">
        <v>11589486.760851245</v>
      </c>
      <c r="FE18" s="1395">
        <v>11589.486760851245</v>
      </c>
    </row>
    <row r="19" spans="139:161" ht="9.75">
      <c r="EI19" s="510"/>
      <c r="EJ19" s="511"/>
      <c r="EK19" s="511"/>
      <c r="EL19" s="511"/>
      <c r="EM19" s="511"/>
      <c r="ER19" s="506"/>
      <c r="ES19" s="672"/>
      <c r="ET19" s="672"/>
      <c r="EU19" s="672"/>
      <c r="FD19" s="1392">
        <v>4735720.769139765</v>
      </c>
      <c r="FE19" s="1395">
        <v>4735.720769139765</v>
      </c>
    </row>
    <row r="20" spans="139:161" ht="9.75">
      <c r="EI20" s="510"/>
      <c r="EJ20" s="511"/>
      <c r="EK20" s="511"/>
      <c r="EL20" s="511"/>
      <c r="EM20" s="511"/>
      <c r="ER20" s="506"/>
      <c r="ES20" s="672"/>
      <c r="ET20" s="672"/>
      <c r="EU20" s="672"/>
      <c r="FD20" s="1392">
        <v>18201340.02497138</v>
      </c>
      <c r="FE20" s="1395">
        <v>18201.34002497138</v>
      </c>
    </row>
    <row r="21" spans="139:161" ht="10.5" thickBot="1">
      <c r="EI21" s="512"/>
      <c r="EJ21" s="511"/>
      <c r="EK21" s="511"/>
      <c r="EL21" s="511"/>
      <c r="EM21" s="511"/>
      <c r="FC21" s="316" t="s">
        <v>1426</v>
      </c>
      <c r="FD21" s="1393">
        <v>79141828.69217476</v>
      </c>
      <c r="FE21" s="1395">
        <v>79141.82869217476</v>
      </c>
    </row>
    <row r="22" spans="140:143" ht="9">
      <c r="EJ22" s="503">
        <f aca="true" t="shared" si="0" ref="EJ22:EM23">EJ15/1000</f>
        <v>0</v>
      </c>
      <c r="EK22" s="503">
        <f t="shared" si="0"/>
        <v>0</v>
      </c>
      <c r="EL22" s="503">
        <f t="shared" si="0"/>
        <v>0</v>
      </c>
      <c r="EM22" s="503">
        <f t="shared" si="0"/>
        <v>0</v>
      </c>
    </row>
    <row r="23" spans="140:143" ht="9">
      <c r="EJ23" s="503">
        <f t="shared" si="0"/>
        <v>0</v>
      </c>
      <c r="EK23" s="503">
        <f t="shared" si="0"/>
        <v>0</v>
      </c>
      <c r="EL23" s="503">
        <f t="shared" si="0"/>
        <v>0</v>
      </c>
      <c r="EM23" s="503">
        <f t="shared" si="0"/>
        <v>0</v>
      </c>
    </row>
    <row r="33" ht="32.25" customHeight="1"/>
    <row r="75" spans="128:147" ht="15">
      <c r="DX75" s="1895" t="s">
        <v>1087</v>
      </c>
      <c r="DY75" s="1895"/>
      <c r="DZ75" s="1895"/>
      <c r="EA75" s="1895"/>
      <c r="EB75" s="1895"/>
      <c r="EC75" s="1895"/>
      <c r="ED75" s="1895"/>
      <c r="EE75" s="1895"/>
      <c r="EF75" s="1895"/>
      <c r="EG75" s="1895"/>
      <c r="EH75" s="1895"/>
      <c r="EI75" s="1895"/>
      <c r="EJ75" s="1895"/>
      <c r="EK75" s="1895"/>
      <c r="EL75" s="1895"/>
      <c r="EM75" s="1895"/>
      <c r="EN75" s="1895"/>
      <c r="EO75" s="1895"/>
      <c r="EP75" s="1895"/>
      <c r="EQ75" s="1895"/>
    </row>
    <row r="115" ht="9.75" thickBot="1"/>
    <row r="116" spans="151:161" ht="15.75" thickBot="1">
      <c r="EU116" s="907" t="s">
        <v>1087</v>
      </c>
      <c r="EV116" s="908"/>
      <c r="EW116" s="909"/>
      <c r="EX116" s="910"/>
      <c r="EY116" s="910"/>
      <c r="EZ116" s="910"/>
      <c r="FA116" s="910"/>
      <c r="FB116" s="910"/>
      <c r="FC116" s="910"/>
      <c r="FD116" s="910"/>
      <c r="FE116" s="911"/>
    </row>
  </sheetData>
  <sheetProtection/>
  <mergeCells count="15">
    <mergeCell ref="B1:FA1"/>
    <mergeCell ref="EP2:FA2"/>
    <mergeCell ref="DX75:EQ75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  <mergeCell ref="ED2:EO2"/>
  </mergeCells>
  <printOptions/>
  <pageMargins left="0.25" right="0.25" top="0.75" bottom="0.75" header="0.3" footer="0.3"/>
  <pageSetup fitToHeight="1" fitToWidth="1" orientation="landscape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85" zoomScalePageLayoutView="0" workbookViewId="0" topLeftCell="D1">
      <selection activeCell="AL46" sqref="AL46"/>
    </sheetView>
  </sheetViews>
  <sheetFormatPr defaultColWidth="9.140625" defaultRowHeight="15"/>
  <cols>
    <col min="1" max="1" width="10.57421875" style="1" customWidth="1"/>
    <col min="2" max="3" width="12.00390625" style="1" bestFit="1" customWidth="1"/>
    <col min="4" max="4" width="9.28125" style="1" bestFit="1" customWidth="1"/>
    <col min="5" max="5" width="10.140625" style="1" bestFit="1" customWidth="1"/>
    <col min="6" max="6" width="9.28125" style="1" bestFit="1" customWidth="1"/>
    <col min="7" max="7" width="10.00390625" style="1" bestFit="1" customWidth="1"/>
    <col min="8" max="11" width="9.28125" style="1" bestFit="1" customWidth="1"/>
    <col min="12" max="13" width="9.140625" style="1" customWidth="1"/>
    <col min="14" max="14" width="9.8515625" style="1" bestFit="1" customWidth="1"/>
    <col min="15" max="15" width="14.421875" style="1" customWidth="1"/>
    <col min="16" max="16" width="4.421875" style="1" customWidth="1"/>
    <col min="17" max="17" width="10.00390625" style="1" bestFit="1" customWidth="1"/>
    <col min="18" max="31" width="9.140625" style="1" customWidth="1"/>
    <col min="32" max="32" width="3.140625" style="1" customWidth="1"/>
    <col min="33" max="16384" width="9.140625" style="1" customWidth="1"/>
  </cols>
  <sheetData>
    <row r="1" spans="1:15" ht="12.75" customHeight="1">
      <c r="A1" s="1899" t="s">
        <v>1427</v>
      </c>
      <c r="B1" s="1899"/>
      <c r="C1" s="1899"/>
      <c r="D1" s="1899"/>
      <c r="E1" s="1899"/>
      <c r="F1" s="1899"/>
      <c r="G1" s="1899"/>
      <c r="H1" s="1899"/>
      <c r="I1" s="1899"/>
      <c r="J1" s="1899"/>
      <c r="K1" s="1899"/>
      <c r="L1" s="1899"/>
      <c r="M1" s="1899"/>
      <c r="N1" s="1899"/>
      <c r="O1" s="1899"/>
    </row>
    <row r="2" spans="1:31" ht="13.5">
      <c r="A2" s="34"/>
      <c r="B2" s="35" t="s">
        <v>48</v>
      </c>
      <c r="C2" s="35" t="s">
        <v>49</v>
      </c>
      <c r="D2" s="35" t="s">
        <v>50</v>
      </c>
      <c r="E2" s="35" t="s">
        <v>51</v>
      </c>
      <c r="F2" s="35" t="s">
        <v>52</v>
      </c>
      <c r="G2" s="35" t="s">
        <v>53</v>
      </c>
      <c r="H2" s="9" t="s">
        <v>96</v>
      </c>
      <c r="I2" s="35" t="s">
        <v>145</v>
      </c>
      <c r="J2" s="35" t="s">
        <v>503</v>
      </c>
      <c r="K2" s="35" t="s">
        <v>552</v>
      </c>
      <c r="L2" s="35" t="s">
        <v>730</v>
      </c>
      <c r="M2" s="35" t="s">
        <v>977</v>
      </c>
      <c r="N2" s="35" t="s">
        <v>1091</v>
      </c>
      <c r="O2" s="35" t="s">
        <v>1373</v>
      </c>
      <c r="Q2" s="34"/>
      <c r="R2" s="35" t="s">
        <v>48</v>
      </c>
      <c r="S2" s="35" t="s">
        <v>49</v>
      </c>
      <c r="T2" s="35" t="s">
        <v>50</v>
      </c>
      <c r="U2" s="35" t="s">
        <v>51</v>
      </c>
      <c r="V2" s="35" t="s">
        <v>52</v>
      </c>
      <c r="W2" s="35" t="s">
        <v>53</v>
      </c>
      <c r="X2" s="9" t="s">
        <v>96</v>
      </c>
      <c r="Y2" s="35" t="s">
        <v>145</v>
      </c>
      <c r="Z2" s="35" t="s">
        <v>503</v>
      </c>
      <c r="AA2" s="35" t="s">
        <v>552</v>
      </c>
      <c r="AB2" s="35" t="s">
        <v>730</v>
      </c>
      <c r="AC2" s="35" t="s">
        <v>977</v>
      </c>
      <c r="AD2" s="35" t="s">
        <v>1091</v>
      </c>
      <c r="AE2" s="35" t="s">
        <v>1373</v>
      </c>
    </row>
    <row r="3" spans="1:31" ht="13.5">
      <c r="A3" s="16" t="s">
        <v>54</v>
      </c>
      <c r="B3" s="513">
        <v>988.11782727</v>
      </c>
      <c r="C3" s="514">
        <v>1538.07065184</v>
      </c>
      <c r="D3" s="515">
        <v>2841</v>
      </c>
      <c r="E3" s="515">
        <v>3222.881462558899</v>
      </c>
      <c r="F3" s="515">
        <v>3886.3121846040367</v>
      </c>
      <c r="G3" s="515">
        <v>2690.695</v>
      </c>
      <c r="H3" s="515">
        <v>1914.9058016442702</v>
      </c>
      <c r="I3" s="516">
        <v>2263.6520810742686</v>
      </c>
      <c r="J3" s="204">
        <v>2741.0936565342713</v>
      </c>
      <c r="K3" s="517">
        <v>3157.455601828567</v>
      </c>
      <c r="L3" s="518">
        <v>3681.2244357087707</v>
      </c>
      <c r="M3" s="204">
        <v>4103.521262284769</v>
      </c>
      <c r="N3" s="673">
        <v>4760.53407001877</v>
      </c>
      <c r="O3" s="733">
        <v>4787.092635790767</v>
      </c>
      <c r="Q3" s="16" t="s">
        <v>57</v>
      </c>
      <c r="R3" s="730">
        <v>4032.5710558100013</v>
      </c>
      <c r="S3" s="731">
        <v>7086.262509108</v>
      </c>
      <c r="T3" s="732">
        <v>8738</v>
      </c>
      <c r="U3" s="732">
        <v>9138.379076818128</v>
      </c>
      <c r="V3" s="732">
        <v>10148.932411263826</v>
      </c>
      <c r="W3" s="732">
        <v>10161.341</v>
      </c>
      <c r="X3" s="732">
        <v>11104.827777918392</v>
      </c>
      <c r="Y3" s="732">
        <v>11097.709981347612</v>
      </c>
      <c r="Z3" s="732">
        <v>11447.17913869087</v>
      </c>
      <c r="AA3" s="733">
        <v>11445.547106006921</v>
      </c>
      <c r="AB3" s="732">
        <v>11304.491888938002</v>
      </c>
      <c r="AC3" s="732">
        <v>11100.182716558098</v>
      </c>
      <c r="AD3" s="734">
        <v>11392.862706987984</v>
      </c>
      <c r="AE3" s="733">
        <v>11712.249339979977</v>
      </c>
    </row>
    <row r="4" spans="1:31" ht="13.5">
      <c r="A4" s="16" t="s">
        <v>55</v>
      </c>
      <c r="B4" s="513">
        <v>18952.68562609</v>
      </c>
      <c r="C4" s="514">
        <v>27366.147777242</v>
      </c>
      <c r="D4" s="744">
        <v>38104</v>
      </c>
      <c r="E4" s="515">
        <v>45304.02933184552</v>
      </c>
      <c r="F4" s="515">
        <v>52313.11960481368</v>
      </c>
      <c r="G4" s="515">
        <v>55590.509</v>
      </c>
      <c r="H4" s="515">
        <v>52802.15694588393</v>
      </c>
      <c r="I4" s="516">
        <v>51583.057838095294</v>
      </c>
      <c r="J4" s="204">
        <v>50756.10437825439</v>
      </c>
      <c r="K4" s="517">
        <v>48111.110462856646</v>
      </c>
      <c r="L4" s="518">
        <v>46640.599585567856</v>
      </c>
      <c r="M4" s="204">
        <v>46765.051957086056</v>
      </c>
      <c r="N4" s="673">
        <v>46520.65382210865</v>
      </c>
      <c r="O4" s="733">
        <v>45223.36455845852</v>
      </c>
      <c r="Q4" s="16" t="s">
        <v>56</v>
      </c>
      <c r="R4" s="730">
        <v>2468.499746719999</v>
      </c>
      <c r="S4" s="731">
        <v>2269.0626701720003</v>
      </c>
      <c r="T4" s="732">
        <v>3516</v>
      </c>
      <c r="U4" s="732">
        <v>3687.7154134712696</v>
      </c>
      <c r="V4" s="732">
        <v>5026.08252575938</v>
      </c>
      <c r="W4" s="732">
        <v>2963.502</v>
      </c>
      <c r="X4" s="732">
        <v>2981.299054049382</v>
      </c>
      <c r="Y4" s="732">
        <v>5775.6418584293815</v>
      </c>
      <c r="Z4" s="732">
        <v>7904.306860519381</v>
      </c>
      <c r="AA4" s="733">
        <v>9182.59496053138</v>
      </c>
      <c r="AB4" s="732">
        <v>10947.35808737238</v>
      </c>
      <c r="AC4" s="732">
        <v>13640.899803443383</v>
      </c>
      <c r="AD4" s="734">
        <v>15720.363373763383</v>
      </c>
      <c r="AE4" s="733">
        <v>18187.5456531734</v>
      </c>
    </row>
    <row r="5" spans="1:31" ht="13.5">
      <c r="A5" s="16" t="s">
        <v>56</v>
      </c>
      <c r="B5" s="513">
        <v>2468.499746719999</v>
      </c>
      <c r="C5" s="514">
        <v>2269.0626701720003</v>
      </c>
      <c r="D5" s="515">
        <v>3516</v>
      </c>
      <c r="E5" s="515">
        <v>3687.7154134712696</v>
      </c>
      <c r="F5" s="515">
        <v>5026.08252575938</v>
      </c>
      <c r="G5" s="515">
        <v>2963.502</v>
      </c>
      <c r="H5" s="515">
        <v>2981.299054049382</v>
      </c>
      <c r="I5" s="516">
        <v>5775.6418584293815</v>
      </c>
      <c r="J5" s="204">
        <v>7904.306860519381</v>
      </c>
      <c r="K5" s="517">
        <v>9182.59496053138</v>
      </c>
      <c r="L5" s="518">
        <v>10947.35808737238</v>
      </c>
      <c r="M5" s="204">
        <v>13640.899803443383</v>
      </c>
      <c r="N5" s="673">
        <v>15720.363373763383</v>
      </c>
      <c r="O5" s="733">
        <v>18187.5456531734</v>
      </c>
      <c r="Q5" s="16" t="s">
        <v>55</v>
      </c>
      <c r="R5" s="730">
        <v>18952.68562609</v>
      </c>
      <c r="S5" s="731">
        <v>27366.147777242</v>
      </c>
      <c r="T5" s="732">
        <v>38104</v>
      </c>
      <c r="U5" s="732">
        <v>45304.02933184552</v>
      </c>
      <c r="V5" s="732">
        <v>52313.11960481368</v>
      </c>
      <c r="W5" s="732">
        <v>55590.509</v>
      </c>
      <c r="X5" s="732">
        <v>52802.15694588393</v>
      </c>
      <c r="Y5" s="732">
        <v>51583.057838095294</v>
      </c>
      <c r="Z5" s="732">
        <v>50756.10437825439</v>
      </c>
      <c r="AA5" s="733">
        <v>48111.110462856646</v>
      </c>
      <c r="AB5" s="732">
        <v>46640.599585567856</v>
      </c>
      <c r="AC5" s="732">
        <v>46765.051957086056</v>
      </c>
      <c r="AD5" s="734">
        <v>46520.65382210865</v>
      </c>
      <c r="AE5" s="733">
        <v>45223.36455845852</v>
      </c>
    </row>
    <row r="6" spans="1:31" ht="13.5">
      <c r="A6" s="16" t="s">
        <v>57</v>
      </c>
      <c r="B6" s="513">
        <v>4032.5710558100013</v>
      </c>
      <c r="C6" s="514">
        <v>7086.262509108</v>
      </c>
      <c r="D6" s="515">
        <v>8738</v>
      </c>
      <c r="E6" s="515">
        <v>9138.379076818128</v>
      </c>
      <c r="F6" s="515">
        <v>10148.932411263826</v>
      </c>
      <c r="G6" s="515">
        <v>10161.341</v>
      </c>
      <c r="H6" s="515">
        <v>11104.827777918392</v>
      </c>
      <c r="I6" s="516">
        <v>11097.709981347612</v>
      </c>
      <c r="J6" s="204">
        <v>11447.17913869087</v>
      </c>
      <c r="K6" s="517">
        <v>11445.547106006921</v>
      </c>
      <c r="L6" s="518">
        <v>11304.491888938002</v>
      </c>
      <c r="M6" s="204">
        <v>11100.182716558098</v>
      </c>
      <c r="N6" s="673">
        <v>11392.862706987984</v>
      </c>
      <c r="O6" s="733">
        <v>11712.249339979977</v>
      </c>
      <c r="Q6" s="16" t="s">
        <v>54</v>
      </c>
      <c r="R6" s="730">
        <v>988.11782727</v>
      </c>
      <c r="S6" s="731">
        <v>1538.07065184</v>
      </c>
      <c r="T6" s="732">
        <v>2841</v>
      </c>
      <c r="U6" s="732">
        <v>3222.881462558899</v>
      </c>
      <c r="V6" s="732">
        <v>3886.3121846040367</v>
      </c>
      <c r="W6" s="732">
        <v>2690.695</v>
      </c>
      <c r="X6" s="732">
        <v>1914.9058016442702</v>
      </c>
      <c r="Y6" s="732">
        <v>2263.6520810742686</v>
      </c>
      <c r="Z6" s="732">
        <v>2741.0936565342713</v>
      </c>
      <c r="AA6" s="733">
        <v>3157.455601828567</v>
      </c>
      <c r="AB6" s="732">
        <v>3681.2244357087707</v>
      </c>
      <c r="AC6" s="732">
        <v>4103.521262284769</v>
      </c>
      <c r="AD6" s="734">
        <v>4760.53407001877</v>
      </c>
      <c r="AE6" s="733">
        <v>4787.092635790767</v>
      </c>
    </row>
    <row r="7" spans="1:31" ht="13.5">
      <c r="A7" s="17" t="s">
        <v>24</v>
      </c>
      <c r="B7" s="519">
        <v>26441.87425589</v>
      </c>
      <c r="C7" s="514">
        <v>38259.54360836199</v>
      </c>
      <c r="D7" s="515">
        <v>53198</v>
      </c>
      <c r="E7" s="515">
        <v>61353.005284693805</v>
      </c>
      <c r="F7" s="515">
        <v>71374.44672644092</v>
      </c>
      <c r="G7" s="515">
        <v>71406.04699999999</v>
      </c>
      <c r="H7" s="515">
        <v>68803.18957949599</v>
      </c>
      <c r="I7" s="520">
        <v>70720</v>
      </c>
      <c r="J7" s="521">
        <v>72848.68403399891</v>
      </c>
      <c r="K7" s="517">
        <v>71896.70813122351</v>
      </c>
      <c r="L7" s="518">
        <v>72573.67399758702</v>
      </c>
      <c r="M7" s="204">
        <v>75609.6557393723</v>
      </c>
      <c r="N7" s="518">
        <v>78394.41397287878</v>
      </c>
      <c r="O7" s="733">
        <v>79910.25218740267</v>
      </c>
      <c r="Q7" s="17" t="s">
        <v>24</v>
      </c>
      <c r="R7" s="735">
        <v>26441.87425589</v>
      </c>
      <c r="S7" s="731">
        <v>38259.54360836199</v>
      </c>
      <c r="T7" s="732">
        <v>53198</v>
      </c>
      <c r="U7" s="732">
        <v>61353.005284693805</v>
      </c>
      <c r="V7" s="732">
        <v>71374.44672644092</v>
      </c>
      <c r="W7" s="732">
        <v>71406.04699999999</v>
      </c>
      <c r="X7" s="732">
        <v>68803.18957949599</v>
      </c>
      <c r="Y7" s="731">
        <v>70720</v>
      </c>
      <c r="Z7" s="732">
        <v>72848.68403399891</v>
      </c>
      <c r="AA7" s="733">
        <v>71896.70813122351</v>
      </c>
      <c r="AB7" s="732">
        <v>72573.67399758702</v>
      </c>
      <c r="AC7" s="732">
        <v>75609.6557393723</v>
      </c>
      <c r="AD7" s="732">
        <v>78394.41397287878</v>
      </c>
      <c r="AE7" s="733">
        <v>79910.25218740267</v>
      </c>
    </row>
    <row r="14" ht="13.5">
      <c r="AF14" s="674"/>
    </row>
    <row r="36" spans="1:2" ht="13.5">
      <c r="A36" s="140"/>
      <c r="B36" s="161"/>
    </row>
    <row r="37" spans="1:15" ht="14.25">
      <c r="A37" s="140"/>
      <c r="B37" s="161"/>
      <c r="K37" s="226"/>
      <c r="L37" s="272"/>
      <c r="M37" s="303"/>
      <c r="N37" s="304"/>
      <c r="O37" s="304"/>
    </row>
    <row r="38" spans="13:15" ht="13.5">
      <c r="M38" s="305"/>
      <c r="N38" s="306"/>
      <c r="O38" s="306"/>
    </row>
    <row r="39" spans="13:15" ht="13.5">
      <c r="M39" s="305"/>
      <c r="N39" s="306"/>
      <c r="O39" s="306"/>
    </row>
    <row r="40" spans="13:15" ht="13.5">
      <c r="M40" s="305"/>
      <c r="N40" s="306"/>
      <c r="O40" s="306"/>
    </row>
    <row r="41" spans="7:15" ht="13.5">
      <c r="G41" s="2"/>
      <c r="H41" s="2"/>
      <c r="I41" s="2"/>
      <c r="J41" s="2"/>
      <c r="M41" s="305"/>
      <c r="N41" s="306"/>
      <c r="O41" s="306"/>
    </row>
    <row r="42" spans="7:15" ht="13.5">
      <c r="G42" s="121"/>
      <c r="H42" s="121"/>
      <c r="I42" s="121"/>
      <c r="J42" s="121"/>
      <c r="M42" s="303"/>
      <c r="N42" s="306"/>
      <c r="O42" s="306"/>
    </row>
    <row r="43" spans="2:15" ht="14.25" thickBot="1">
      <c r="B43" s="139"/>
      <c r="C43" s="307"/>
      <c r="M43" s="303"/>
      <c r="N43" s="303"/>
      <c r="O43" s="303"/>
    </row>
    <row r="44" spans="2:30" ht="15.75" thickBot="1">
      <c r="B44" s="139"/>
      <c r="C44" s="307"/>
      <c r="M44" s="303"/>
      <c r="N44" s="303"/>
      <c r="O44" s="303"/>
      <c r="Z44" s="1748" t="s">
        <v>1087</v>
      </c>
      <c r="AA44" s="1749"/>
      <c r="AB44" s="1749"/>
      <c r="AC44" s="1749"/>
      <c r="AD44" s="1750"/>
    </row>
    <row r="45" spans="4:17" ht="13.5">
      <c r="D45" s="461"/>
      <c r="E45" s="508"/>
      <c r="F45" s="508"/>
      <c r="G45" s="508"/>
      <c r="M45" s="303"/>
      <c r="N45" s="308"/>
      <c r="O45" s="506"/>
      <c r="P45" s="504"/>
      <c r="Q45" s="511"/>
    </row>
    <row r="46" spans="4:17" ht="13.5">
      <c r="D46" s="303"/>
      <c r="E46" s="303"/>
      <c r="F46" s="303"/>
      <c r="G46" s="952"/>
      <c r="H46" s="945"/>
      <c r="M46" s="303"/>
      <c r="N46" s="309"/>
      <c r="O46" s="506"/>
      <c r="P46" s="504"/>
      <c r="Q46" s="511"/>
    </row>
    <row r="47" spans="4:17" ht="13.5">
      <c r="D47" s="506"/>
      <c r="E47" s="306"/>
      <c r="F47" s="306"/>
      <c r="G47" s="952"/>
      <c r="H47" s="945"/>
      <c r="O47" s="506"/>
      <c r="P47" s="504"/>
      <c r="Q47" s="511"/>
    </row>
    <row r="48" spans="4:17" ht="13.5">
      <c r="D48" s="506"/>
      <c r="E48" s="306"/>
      <c r="F48" s="306"/>
      <c r="G48" s="952"/>
      <c r="H48" s="945"/>
      <c r="O48" s="506"/>
      <c r="P48" s="504"/>
      <c r="Q48" s="511"/>
    </row>
    <row r="49" spans="4:17" ht="13.5">
      <c r="D49" s="506"/>
      <c r="E49" s="306"/>
      <c r="F49" s="306"/>
      <c r="G49" s="952"/>
      <c r="H49" s="945"/>
      <c r="O49" s="461"/>
      <c r="P49" s="508"/>
      <c r="Q49" s="511"/>
    </row>
    <row r="50" spans="4:8" ht="13.5">
      <c r="D50" s="506"/>
      <c r="E50" s="306"/>
      <c r="F50" s="306"/>
      <c r="G50" s="951"/>
      <c r="H50" s="945"/>
    </row>
    <row r="51" spans="4:7" ht="13.5">
      <c r="D51" s="303"/>
      <c r="E51" s="306"/>
      <c r="F51" s="306"/>
      <c r="G51" s="306"/>
    </row>
    <row r="64" spans="9:12" ht="13.5">
      <c r="I64" s="1870"/>
      <c r="J64" s="1870"/>
      <c r="K64" s="1870"/>
      <c r="L64" s="1870"/>
    </row>
  </sheetData>
  <sheetProtection/>
  <mergeCells count="3">
    <mergeCell ref="A1:O1"/>
    <mergeCell ref="Z44:AD44"/>
    <mergeCell ref="I64:L64"/>
  </mergeCells>
  <printOptions/>
  <pageMargins left="0.25" right="0.25" top="0.75" bottom="0.75" header="0.3" footer="0.3"/>
  <pageSetup orientation="landscape" scale="87" r:id="rId2"/>
  <colBreaks count="1" manualBreakCount="1">
    <brk id="15" max="43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zoomScalePageLayoutView="0" workbookViewId="0" topLeftCell="A18">
      <selection activeCell="T44" sqref="T44"/>
    </sheetView>
  </sheetViews>
  <sheetFormatPr defaultColWidth="9.140625" defaultRowHeight="15"/>
  <cols>
    <col min="1" max="1" width="8.8515625" style="5" bestFit="1" customWidth="1"/>
    <col min="2" max="2" width="9.421875" style="1" bestFit="1" customWidth="1"/>
    <col min="3" max="5" width="8.140625" style="1" bestFit="1" customWidth="1"/>
    <col min="6" max="7" width="8.57421875" style="1" bestFit="1" customWidth="1"/>
    <col min="8" max="9" width="9.8515625" style="1" bestFit="1" customWidth="1"/>
    <col min="10" max="10" width="9.28125" style="1" bestFit="1" customWidth="1"/>
    <col min="11" max="11" width="7.8515625" style="1" bestFit="1" customWidth="1"/>
    <col min="12" max="13" width="8.57421875" style="1" bestFit="1" customWidth="1"/>
    <col min="14" max="14" width="9.00390625" style="1" bestFit="1" customWidth="1"/>
    <col min="15" max="15" width="9.140625" style="1" customWidth="1"/>
    <col min="16" max="16" width="9.57421875" style="1" bestFit="1" customWidth="1"/>
    <col min="17" max="16384" width="9.140625" style="1" customWidth="1"/>
  </cols>
  <sheetData>
    <row r="1" spans="1:16" ht="13.5">
      <c r="A1" s="1900" t="s">
        <v>1428</v>
      </c>
      <c r="B1" s="1900"/>
      <c r="C1" s="1900"/>
      <c r="D1" s="1900"/>
      <c r="E1" s="1900"/>
      <c r="F1" s="1900"/>
      <c r="G1" s="1900"/>
      <c r="H1" s="1900"/>
      <c r="I1" s="1900"/>
      <c r="J1" s="1900"/>
      <c r="K1" s="1900"/>
      <c r="L1" s="1900"/>
      <c r="M1" s="1900"/>
      <c r="N1" s="1900"/>
      <c r="O1" s="83"/>
      <c r="P1" s="83"/>
    </row>
    <row r="2" spans="1:14" ht="13.5">
      <c r="A2" s="20"/>
      <c r="B2" s="8" t="s">
        <v>12</v>
      </c>
      <c r="C2" s="654" t="s">
        <v>13</v>
      </c>
      <c r="D2" s="654" t="s">
        <v>14</v>
      </c>
      <c r="E2" s="654" t="s">
        <v>15</v>
      </c>
      <c r="F2" s="654" t="s">
        <v>16</v>
      </c>
      <c r="G2" s="654" t="s">
        <v>17</v>
      </c>
      <c r="H2" s="654" t="s">
        <v>18</v>
      </c>
      <c r="I2" s="654" t="s">
        <v>19</v>
      </c>
      <c r="J2" s="654" t="s">
        <v>20</v>
      </c>
      <c r="K2" s="654" t="s">
        <v>21</v>
      </c>
      <c r="L2" s="654" t="s">
        <v>22</v>
      </c>
      <c r="M2" s="654" t="s">
        <v>23</v>
      </c>
      <c r="N2" s="9" t="s">
        <v>64</v>
      </c>
    </row>
    <row r="3" spans="1:14" ht="13.5">
      <c r="A3" s="207">
        <v>2009</v>
      </c>
      <c r="B3" s="528">
        <v>644987</v>
      </c>
      <c r="C3" s="528">
        <v>568719</v>
      </c>
      <c r="D3" s="528">
        <v>589279</v>
      </c>
      <c r="E3" s="528">
        <v>462709</v>
      </c>
      <c r="F3" s="528">
        <v>448118</v>
      </c>
      <c r="G3" s="528">
        <v>427694</v>
      </c>
      <c r="H3" s="528">
        <v>467863</v>
      </c>
      <c r="I3" s="528">
        <v>493772</v>
      </c>
      <c r="J3" s="528">
        <v>439604</v>
      </c>
      <c r="K3" s="528">
        <v>489635</v>
      </c>
      <c r="L3" s="528">
        <v>557554</v>
      </c>
      <c r="M3" s="528">
        <v>639797</v>
      </c>
      <c r="N3" s="529">
        <v>6229731</v>
      </c>
    </row>
    <row r="4" spans="1:14" ht="13.5">
      <c r="A4" s="244">
        <v>2010</v>
      </c>
      <c r="B4" s="530">
        <v>675343</v>
      </c>
      <c r="C4" s="530">
        <v>608940</v>
      </c>
      <c r="D4" s="530">
        <v>610583</v>
      </c>
      <c r="E4" s="530">
        <v>506275</v>
      </c>
      <c r="F4" s="530">
        <v>476500</v>
      </c>
      <c r="G4" s="530">
        <v>464120</v>
      </c>
      <c r="H4" s="530">
        <v>499241</v>
      </c>
      <c r="I4" s="530">
        <v>512024</v>
      </c>
      <c r="J4" s="531">
        <v>460893</v>
      </c>
      <c r="K4" s="531">
        <v>509793</v>
      </c>
      <c r="L4" s="532">
        <v>532126</v>
      </c>
      <c r="M4" s="532">
        <v>660665</v>
      </c>
      <c r="N4" s="529">
        <v>6516503</v>
      </c>
    </row>
    <row r="5" spans="1:14" ht="13.5">
      <c r="A5" s="244">
        <v>2011</v>
      </c>
      <c r="B5" s="532">
        <v>708263.6</v>
      </c>
      <c r="C5" s="532">
        <v>623208</v>
      </c>
      <c r="D5" s="532">
        <v>634087.2999999999</v>
      </c>
      <c r="E5" s="532">
        <v>536286</v>
      </c>
      <c r="F5" s="532">
        <v>533563.6</v>
      </c>
      <c r="G5" s="532">
        <v>495139</v>
      </c>
      <c r="H5" s="532">
        <v>545315.284</v>
      </c>
      <c r="I5" s="532">
        <v>567282.352</v>
      </c>
      <c r="J5" s="533">
        <v>512979</v>
      </c>
      <c r="K5" s="532">
        <v>551132.227777105</v>
      </c>
      <c r="L5" s="532">
        <v>619654.863689371</v>
      </c>
      <c r="M5" s="532">
        <v>710869.980760876</v>
      </c>
      <c r="N5" s="529">
        <v>7037781.208227352</v>
      </c>
    </row>
    <row r="6" spans="1:14" ht="13.5">
      <c r="A6" s="207">
        <v>2012</v>
      </c>
      <c r="B6" s="534">
        <v>733972.936504737</v>
      </c>
      <c r="C6" s="534">
        <v>680053.720967109</v>
      </c>
      <c r="D6" s="534">
        <v>596982</v>
      </c>
      <c r="E6" s="534">
        <v>537949.9</v>
      </c>
      <c r="F6" s="531">
        <v>483890.9</v>
      </c>
      <c r="G6" s="534">
        <v>489723</v>
      </c>
      <c r="H6" s="534">
        <v>536890.863014599</v>
      </c>
      <c r="I6" s="534">
        <v>540566</v>
      </c>
      <c r="J6" s="534">
        <v>469527</v>
      </c>
      <c r="K6" s="534">
        <v>484705.661665298</v>
      </c>
      <c r="L6" s="534">
        <v>548289.026552565</v>
      </c>
      <c r="M6" s="534">
        <v>749398</v>
      </c>
      <c r="N6" s="529">
        <v>6851949.008704308</v>
      </c>
    </row>
    <row r="7" spans="1:14" ht="13.5">
      <c r="A7" s="244">
        <v>2013</v>
      </c>
      <c r="B7" s="535">
        <v>743846.309682549</v>
      </c>
      <c r="C7" s="535">
        <v>665392.4103706509</v>
      </c>
      <c r="D7" s="535">
        <v>673578.184832076</v>
      </c>
      <c r="E7" s="534">
        <v>545600.367041559</v>
      </c>
      <c r="F7" s="439">
        <v>502945</v>
      </c>
      <c r="G7" s="536">
        <v>511390</v>
      </c>
      <c r="H7" s="439">
        <v>546696</v>
      </c>
      <c r="I7" s="439">
        <v>565789</v>
      </c>
      <c r="J7" s="439">
        <v>493056</v>
      </c>
      <c r="K7" s="438">
        <v>532555.3511320871</v>
      </c>
      <c r="L7" s="438">
        <v>589808.270631668</v>
      </c>
      <c r="M7" s="438">
        <v>774402.8087441729</v>
      </c>
      <c r="N7" s="529">
        <v>7145059.702434763</v>
      </c>
    </row>
    <row r="8" spans="1:14" ht="13.5">
      <c r="A8" s="244">
        <v>2014</v>
      </c>
      <c r="B8" s="535">
        <v>733468</v>
      </c>
      <c r="C8" s="535">
        <v>631678</v>
      </c>
      <c r="D8" s="535">
        <v>645837</v>
      </c>
      <c r="E8" s="534">
        <v>578948</v>
      </c>
      <c r="F8" s="438">
        <v>541016</v>
      </c>
      <c r="G8" s="536">
        <v>501088</v>
      </c>
      <c r="H8" s="439">
        <v>530554</v>
      </c>
      <c r="I8" s="438">
        <v>556098</v>
      </c>
      <c r="J8" s="438">
        <v>492427</v>
      </c>
      <c r="K8" s="438">
        <v>537280</v>
      </c>
      <c r="L8" s="438">
        <v>546419</v>
      </c>
      <c r="M8" s="438">
        <v>640431</v>
      </c>
      <c r="N8" s="529">
        <v>6935244</v>
      </c>
    </row>
    <row r="9" spans="1:14" ht="13.5">
      <c r="A9" s="207">
        <v>2015</v>
      </c>
      <c r="B9" s="535">
        <v>686041</v>
      </c>
      <c r="C9" s="535">
        <v>591978</v>
      </c>
      <c r="D9" s="535">
        <v>594775</v>
      </c>
      <c r="E9" s="534">
        <v>514282</v>
      </c>
      <c r="F9" s="438">
        <v>472405</v>
      </c>
      <c r="G9" s="536">
        <v>465730</v>
      </c>
      <c r="H9" s="536">
        <v>536160</v>
      </c>
      <c r="I9" s="536">
        <v>529208</v>
      </c>
      <c r="J9" s="536">
        <v>459012</v>
      </c>
      <c r="K9" s="536">
        <v>476969</v>
      </c>
      <c r="L9" s="536">
        <v>519281</v>
      </c>
      <c r="M9" s="536">
        <v>649026</v>
      </c>
      <c r="N9" s="529">
        <v>6494867</v>
      </c>
    </row>
    <row r="10" spans="1:14" ht="13.5">
      <c r="A10" s="207">
        <v>2016</v>
      </c>
      <c r="B10" s="535">
        <v>671884</v>
      </c>
      <c r="C10" s="535">
        <v>559772</v>
      </c>
      <c r="D10" s="535">
        <v>573419</v>
      </c>
      <c r="E10" s="534">
        <v>469803</v>
      </c>
      <c r="F10" s="438">
        <v>477468</v>
      </c>
      <c r="G10" s="536">
        <v>463248</v>
      </c>
      <c r="H10" s="536">
        <v>509916</v>
      </c>
      <c r="I10" s="536">
        <v>514034</v>
      </c>
      <c r="J10" s="536">
        <v>451153</v>
      </c>
      <c r="K10" s="536">
        <v>480236</v>
      </c>
      <c r="L10" s="536">
        <v>540024</v>
      </c>
      <c r="M10" s="536">
        <v>688760</v>
      </c>
      <c r="N10" s="529">
        <v>6399717</v>
      </c>
    </row>
    <row r="11" spans="1:14" ht="13.5">
      <c r="A11" s="207">
        <v>2017</v>
      </c>
      <c r="B11" s="535">
        <v>715886</v>
      </c>
      <c r="C11" s="535">
        <v>562270</v>
      </c>
      <c r="D11" s="535">
        <v>545214</v>
      </c>
      <c r="E11" s="534">
        <v>493731</v>
      </c>
      <c r="F11" s="537">
        <v>475055.24588289997</v>
      </c>
      <c r="G11" s="537">
        <v>485386.0228383368</v>
      </c>
      <c r="H11" s="537">
        <v>529805.327626669</v>
      </c>
      <c r="I11" s="537">
        <v>543145</v>
      </c>
      <c r="J11" s="439">
        <v>451103</v>
      </c>
      <c r="K11" s="439">
        <v>482629</v>
      </c>
      <c r="L11" s="536">
        <v>546256</v>
      </c>
      <c r="M11" s="536">
        <v>667841</v>
      </c>
      <c r="N11" s="529">
        <v>6498321.596347906</v>
      </c>
    </row>
    <row r="12" spans="1:14" ht="13.5">
      <c r="A12" s="207">
        <v>2018</v>
      </c>
      <c r="B12" s="208">
        <v>659778.4025253301</v>
      </c>
      <c r="C12" s="208">
        <v>590822.565087522</v>
      </c>
      <c r="D12" s="133">
        <v>597594.5765093501</v>
      </c>
      <c r="E12" s="208">
        <v>468417.222662</v>
      </c>
      <c r="F12" s="537">
        <v>467468</v>
      </c>
      <c r="G12" s="537">
        <v>468885</v>
      </c>
      <c r="H12" s="538">
        <v>508892.46679516</v>
      </c>
      <c r="I12" s="538">
        <v>539133.8514695399</v>
      </c>
      <c r="J12" s="539">
        <v>465468.41102895</v>
      </c>
      <c r="K12" s="539">
        <v>471406.74544532003</v>
      </c>
      <c r="L12" s="539">
        <v>517882.03745769</v>
      </c>
      <c r="M12" s="539">
        <v>681161.9958609999</v>
      </c>
      <c r="N12" s="529">
        <v>6436911.274841862</v>
      </c>
    </row>
    <row r="13" spans="1:14" ht="13.5">
      <c r="A13" s="207">
        <v>2019</v>
      </c>
      <c r="B13" s="208">
        <v>735812.7324330698</v>
      </c>
      <c r="C13" s="208">
        <v>586992.48008369</v>
      </c>
      <c r="D13" s="208">
        <v>559331.1568939202</v>
      </c>
      <c r="E13" s="208">
        <v>500485.03576017026</v>
      </c>
      <c r="F13" s="208">
        <v>501060.9480371399</v>
      </c>
      <c r="G13" s="208">
        <v>500729.18649093993</v>
      </c>
      <c r="H13" s="208">
        <v>533842.12798112</v>
      </c>
      <c r="I13" s="208">
        <v>565787.57685392</v>
      </c>
      <c r="J13" s="208">
        <v>471683.92661823</v>
      </c>
      <c r="K13" s="208">
        <v>472833.31200651004</v>
      </c>
      <c r="L13" s="208">
        <v>507919.92326197994</v>
      </c>
      <c r="M13" s="208">
        <v>639953.2136537702</v>
      </c>
      <c r="N13" s="525">
        <v>6576431.62007446</v>
      </c>
    </row>
    <row r="14" spans="1:14" ht="13.5">
      <c r="A14" s="207">
        <v>2020</v>
      </c>
      <c r="B14" s="526">
        <v>708611</v>
      </c>
      <c r="C14" s="526">
        <v>607803</v>
      </c>
      <c r="D14" s="526">
        <v>589581</v>
      </c>
      <c r="E14" s="526">
        <v>489236</v>
      </c>
      <c r="F14" s="527">
        <v>464183</v>
      </c>
      <c r="G14" s="527">
        <v>463789</v>
      </c>
      <c r="H14" s="527">
        <v>527801</v>
      </c>
      <c r="I14" s="527">
        <v>533336</v>
      </c>
      <c r="J14" s="527">
        <v>482358</v>
      </c>
      <c r="K14" s="527">
        <v>506280</v>
      </c>
      <c r="L14" s="527">
        <v>562127</v>
      </c>
      <c r="M14" s="527">
        <v>669977</v>
      </c>
      <c r="N14" s="540">
        <v>6605082</v>
      </c>
    </row>
    <row r="15" spans="1:16" ht="13.5">
      <c r="A15" s="207">
        <v>2021</v>
      </c>
      <c r="B15" s="526">
        <v>724554</v>
      </c>
      <c r="C15" s="526">
        <v>629962</v>
      </c>
      <c r="D15" s="526">
        <v>662183</v>
      </c>
      <c r="E15" s="526">
        <v>590810</v>
      </c>
      <c r="F15" s="594">
        <v>504969.54527819005</v>
      </c>
      <c r="G15" s="594">
        <v>519562.9731044901</v>
      </c>
      <c r="H15" s="879">
        <v>591485</v>
      </c>
      <c r="I15" s="879">
        <v>603872</v>
      </c>
      <c r="J15" s="527">
        <v>485288</v>
      </c>
      <c r="K15" s="527">
        <v>523606</v>
      </c>
      <c r="L15" s="879">
        <v>552840</v>
      </c>
      <c r="M15" s="879">
        <v>747790</v>
      </c>
      <c r="N15" s="540">
        <v>7136936</v>
      </c>
      <c r="O15" s="522"/>
      <c r="P15" s="522"/>
    </row>
    <row r="16" spans="1:16" ht="13.5">
      <c r="A16" s="207">
        <v>2022</v>
      </c>
      <c r="B16" s="526">
        <v>774084</v>
      </c>
      <c r="C16" s="526">
        <v>656456</v>
      </c>
      <c r="D16" s="526">
        <v>698991</v>
      </c>
      <c r="E16" s="526">
        <v>556264</v>
      </c>
      <c r="F16" s="676">
        <v>504224.43365456007</v>
      </c>
      <c r="G16" s="676">
        <v>525508.84969803</v>
      </c>
      <c r="H16" s="880">
        <v>591874.6604925299</v>
      </c>
      <c r="I16" s="880">
        <v>587526.99885867</v>
      </c>
      <c r="J16" s="933">
        <v>481886</v>
      </c>
      <c r="K16" s="527">
        <v>480961</v>
      </c>
      <c r="L16" s="1399">
        <v>536263.2373268701</v>
      </c>
      <c r="M16" s="1399">
        <v>650564.1401926901</v>
      </c>
      <c r="N16" s="540">
        <f>SUM(B16:M16)</f>
        <v>7044604.32022335</v>
      </c>
      <c r="O16" s="522"/>
      <c r="P16" s="522"/>
    </row>
    <row r="17" spans="2:14" ht="13.5">
      <c r="B17" s="144"/>
      <c r="C17" s="144"/>
      <c r="D17" s="144"/>
      <c r="E17" s="144"/>
      <c r="F17" s="144"/>
      <c r="G17" s="144"/>
      <c r="H17" s="144"/>
      <c r="I17" s="144"/>
      <c r="J17" s="932"/>
      <c r="K17" s="144"/>
      <c r="L17" s="144"/>
      <c r="M17" s="144"/>
      <c r="N17" s="144"/>
    </row>
    <row r="18" spans="1:14" ht="13.5">
      <c r="A18" s="655"/>
      <c r="B18" s="8" t="s">
        <v>12</v>
      </c>
      <c r="C18" s="654" t="s">
        <v>13</v>
      </c>
      <c r="D18" s="654" t="s">
        <v>14</v>
      </c>
      <c r="E18" s="654" t="s">
        <v>15</v>
      </c>
      <c r="F18" s="654" t="s">
        <v>16</v>
      </c>
      <c r="G18" s="654" t="s">
        <v>17</v>
      </c>
      <c r="H18" s="654" t="s">
        <v>18</v>
      </c>
      <c r="I18" s="654" t="s">
        <v>19</v>
      </c>
      <c r="J18" s="654" t="s">
        <v>20</v>
      </c>
      <c r="K18" s="654" t="s">
        <v>21</v>
      </c>
      <c r="L18" s="654" t="s">
        <v>22</v>
      </c>
      <c r="M18" s="654" t="s">
        <v>23</v>
      </c>
      <c r="N18" s="144"/>
    </row>
    <row r="19" spans="1:14" ht="13.5">
      <c r="A19" s="20" t="s">
        <v>65</v>
      </c>
      <c r="B19" s="675">
        <v>703265.2293188989</v>
      </c>
      <c r="C19" s="675">
        <v>608276.244346844</v>
      </c>
      <c r="D19" s="675">
        <v>605572.6321719497</v>
      </c>
      <c r="E19" s="675">
        <v>514964.04042028676</v>
      </c>
      <c r="F19" s="675">
        <v>488357.1722460177</v>
      </c>
      <c r="G19" s="675">
        <v>481268.01403336663</v>
      </c>
      <c r="H19" s="675">
        <v>528035.5438013498</v>
      </c>
      <c r="I19" s="675">
        <v>543388.2907941123</v>
      </c>
      <c r="J19" s="675">
        <v>471888.6413574753</v>
      </c>
      <c r="K19" s="675">
        <v>501466.2536943323</v>
      </c>
      <c r="L19" s="675">
        <v>549244.701661021</v>
      </c>
      <c r="M19" s="675">
        <v>686159.4614630631</v>
      </c>
      <c r="N19" s="675"/>
    </row>
    <row r="20" spans="1:14" ht="13.5">
      <c r="A20" s="207">
        <v>2022</v>
      </c>
      <c r="B20" s="526">
        <v>774084</v>
      </c>
      <c r="C20" s="526">
        <v>656456</v>
      </c>
      <c r="D20" s="526">
        <v>698991</v>
      </c>
      <c r="E20" s="526">
        <v>556264</v>
      </c>
      <c r="F20" s="676">
        <v>504224.43365456007</v>
      </c>
      <c r="G20" s="676">
        <v>525508.84969803</v>
      </c>
      <c r="H20" s="880">
        <v>591874.6604925299</v>
      </c>
      <c r="I20" s="880">
        <v>587526.99885867</v>
      </c>
      <c r="J20" s="931">
        <v>481886</v>
      </c>
      <c r="K20" s="931">
        <v>480961</v>
      </c>
      <c r="L20" s="1399">
        <v>536263.2373268701</v>
      </c>
      <c r="M20" s="1399">
        <v>650564.1401926901</v>
      </c>
      <c r="N20" s="311"/>
    </row>
    <row r="21" spans="1:16" ht="13.5">
      <c r="A21" s="209" t="s">
        <v>592</v>
      </c>
      <c r="B21" s="210">
        <f>B20-B19</f>
        <v>70818.77068110113</v>
      </c>
      <c r="C21" s="210">
        <f aca="true" t="shared" si="0" ref="C21:M21">C20-C19</f>
        <v>48179.75565315597</v>
      </c>
      <c r="D21" s="210">
        <f t="shared" si="0"/>
        <v>93418.36782805028</v>
      </c>
      <c r="E21" s="210">
        <f t="shared" si="0"/>
        <v>41299.959579713235</v>
      </c>
      <c r="F21" s="210">
        <f t="shared" si="0"/>
        <v>15867.261408542341</v>
      </c>
      <c r="G21" s="210">
        <f t="shared" si="0"/>
        <v>44240.835664663406</v>
      </c>
      <c r="H21" s="210">
        <f t="shared" si="0"/>
        <v>63839.11669118004</v>
      </c>
      <c r="I21" s="210">
        <f t="shared" si="0"/>
        <v>44138.70806455775</v>
      </c>
      <c r="J21" s="210">
        <f t="shared" si="0"/>
        <v>9997.35864252469</v>
      </c>
      <c r="K21" s="210">
        <f t="shared" si="0"/>
        <v>-20505.25369433232</v>
      </c>
      <c r="L21" s="210">
        <f t="shared" si="0"/>
        <v>-12981.464334150893</v>
      </c>
      <c r="M21" s="210">
        <f t="shared" si="0"/>
        <v>-35595.32127037307</v>
      </c>
      <c r="P21" s="934"/>
    </row>
    <row r="45" spans="11:14" ht="13.5">
      <c r="K45" s="1870" t="s">
        <v>505</v>
      </c>
      <c r="L45" s="1870"/>
      <c r="M45" s="1870"/>
      <c r="N45" s="1870"/>
    </row>
  </sheetData>
  <sheetProtection/>
  <mergeCells count="2">
    <mergeCell ref="A1:N1"/>
    <mergeCell ref="K45:N45"/>
  </mergeCells>
  <printOptions/>
  <pageMargins left="0.25" right="0.25" top="0.75" bottom="0.75" header="0.3" footer="0.3"/>
  <pageSetup fitToHeight="1" fitToWidth="1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87"/>
  <sheetViews>
    <sheetView view="pageBreakPreview" zoomScale="60" zoomScalePageLayoutView="0" workbookViewId="0" topLeftCell="A38">
      <selection activeCell="W53" sqref="W53"/>
    </sheetView>
  </sheetViews>
  <sheetFormatPr defaultColWidth="9.140625" defaultRowHeight="15"/>
  <cols>
    <col min="1" max="1" width="9.8515625" style="1" bestFit="1" customWidth="1"/>
    <col min="2" max="13" width="8.7109375" style="1" customWidth="1"/>
    <col min="14" max="14" width="6.7109375" style="1" customWidth="1"/>
    <col min="15" max="16384" width="9.140625" style="1" customWidth="1"/>
  </cols>
  <sheetData>
    <row r="1" spans="1:16" ht="18" customHeight="1">
      <c r="A1" s="1901" t="s">
        <v>1092</v>
      </c>
      <c r="B1" s="1901"/>
      <c r="C1" s="1901"/>
      <c r="D1" s="1901"/>
      <c r="E1" s="1901"/>
      <c r="F1" s="1901"/>
      <c r="G1" s="1901"/>
      <c r="H1" s="1901"/>
      <c r="I1" s="1901"/>
      <c r="J1" s="1901"/>
      <c r="K1" s="1901"/>
      <c r="L1" s="1901"/>
      <c r="M1" s="1901"/>
      <c r="N1" s="84"/>
      <c r="O1" s="83"/>
      <c r="P1" s="83"/>
    </row>
    <row r="2" spans="1:14" ht="13.5" customHeight="1">
      <c r="A2" s="1902" t="s">
        <v>1093</v>
      </c>
      <c r="B2" s="1902"/>
      <c r="C2" s="1903"/>
      <c r="D2" s="1903"/>
      <c r="E2" s="1903"/>
      <c r="F2" s="1903"/>
      <c r="G2" s="1903"/>
      <c r="H2" s="1903"/>
      <c r="I2" s="1903"/>
      <c r="J2" s="1903"/>
      <c r="K2" s="1904"/>
      <c r="L2" s="1904"/>
      <c r="M2" s="1904"/>
      <c r="N2" s="82"/>
    </row>
    <row r="3" spans="1:13" ht="10.5" customHeight="1">
      <c r="A3" s="227"/>
      <c r="B3" s="23" t="s">
        <v>12</v>
      </c>
      <c r="C3" s="23" t="s">
        <v>13</v>
      </c>
      <c r="D3" s="23" t="s">
        <v>14</v>
      </c>
      <c r="E3" s="23" t="s">
        <v>25</v>
      </c>
      <c r="F3" s="23" t="s">
        <v>16</v>
      </c>
      <c r="G3" s="23" t="s">
        <v>17</v>
      </c>
      <c r="H3" s="227" t="s">
        <v>18</v>
      </c>
      <c r="I3" s="227" t="s">
        <v>19</v>
      </c>
      <c r="J3" s="227" t="s">
        <v>20</v>
      </c>
      <c r="K3" s="227" t="s">
        <v>21</v>
      </c>
      <c r="L3" s="227" t="s">
        <v>22</v>
      </c>
      <c r="M3" s="227" t="s">
        <v>23</v>
      </c>
    </row>
    <row r="4" spans="1:13" ht="10.5" customHeight="1">
      <c r="A4" s="655">
        <v>2009</v>
      </c>
      <c r="B4" s="227">
        <v>40.75</v>
      </c>
      <c r="C4" s="227">
        <v>37.05</v>
      </c>
      <c r="D4" s="227">
        <v>38.05</v>
      </c>
      <c r="E4" s="227">
        <v>32.93</v>
      </c>
      <c r="F4" s="227">
        <v>33.44</v>
      </c>
      <c r="G4" s="227">
        <v>30.75</v>
      </c>
      <c r="H4" s="24">
        <v>32.59650795211419</v>
      </c>
      <c r="I4" s="24">
        <v>30.196527952172257</v>
      </c>
      <c r="J4" s="24">
        <v>25.340533753105067</v>
      </c>
      <c r="K4" s="24">
        <v>30.66508725887651</v>
      </c>
      <c r="L4" s="24">
        <v>33.435505798541485</v>
      </c>
      <c r="M4" s="24">
        <v>36.891545287020726</v>
      </c>
    </row>
    <row r="5" spans="1:13" ht="10.5" customHeight="1">
      <c r="A5" s="655">
        <v>2010</v>
      </c>
      <c r="B5" s="24">
        <v>38.615324811513496</v>
      </c>
      <c r="C5" s="24">
        <v>35.41174848363522</v>
      </c>
      <c r="D5" s="24">
        <v>36.90203104331665</v>
      </c>
      <c r="E5" s="24">
        <v>31.374671250202425</v>
      </c>
      <c r="F5" s="24">
        <v>35.16501079346174</v>
      </c>
      <c r="G5" s="227">
        <v>31.45</v>
      </c>
      <c r="H5" s="24">
        <v>26.94</v>
      </c>
      <c r="I5" s="24">
        <v>29.69</v>
      </c>
      <c r="J5" s="227">
        <v>21.47</v>
      </c>
      <c r="K5" s="227">
        <v>20.61</v>
      </c>
      <c r="L5" s="227">
        <v>22.16</v>
      </c>
      <c r="M5" s="24">
        <v>29.05</v>
      </c>
    </row>
    <row r="6" spans="1:13" ht="10.5" customHeight="1">
      <c r="A6" s="655">
        <v>2011</v>
      </c>
      <c r="B6" s="24">
        <v>55.549150063216004</v>
      </c>
      <c r="C6" s="24">
        <v>38.000839523800565</v>
      </c>
      <c r="D6" s="24">
        <v>36.94775395240158</v>
      </c>
      <c r="E6" s="24">
        <v>23.11279690555411</v>
      </c>
      <c r="F6" s="24">
        <v>24.847225225824694</v>
      </c>
      <c r="G6" s="24">
        <v>21.287796970259652</v>
      </c>
      <c r="H6" s="24">
        <v>21.880896331827508</v>
      </c>
      <c r="I6" s="227">
        <v>19.41</v>
      </c>
      <c r="J6" s="24">
        <v>22.95</v>
      </c>
      <c r="K6" s="24">
        <v>25.15</v>
      </c>
      <c r="L6" s="24">
        <v>32.2</v>
      </c>
      <c r="M6" s="24">
        <v>35.7</v>
      </c>
    </row>
    <row r="7" spans="1:13" ht="10.5" customHeight="1">
      <c r="A7" s="655">
        <v>2012</v>
      </c>
      <c r="B7" s="24">
        <v>35.72</v>
      </c>
      <c r="C7" s="24">
        <v>59.156919891655654</v>
      </c>
      <c r="D7" s="24">
        <v>55.22712577598654</v>
      </c>
      <c r="E7" s="24">
        <v>45.414629612417514</v>
      </c>
      <c r="F7" s="24">
        <v>38.872264357601935</v>
      </c>
      <c r="G7" s="24">
        <v>39.767991293037085</v>
      </c>
      <c r="H7" s="24">
        <v>45.5058498075191</v>
      </c>
      <c r="I7" s="25">
        <f>0.455121955731503*100</f>
        <v>45.5121955731503</v>
      </c>
      <c r="J7" s="24">
        <v>42.09</v>
      </c>
      <c r="K7" s="24">
        <v>35.53</v>
      </c>
      <c r="L7" s="24">
        <v>41.89</v>
      </c>
      <c r="M7" s="24">
        <v>49.32</v>
      </c>
    </row>
    <row r="8" spans="1:13" ht="10.5" customHeight="1">
      <c r="A8" s="655">
        <v>2013</v>
      </c>
      <c r="B8" s="24">
        <v>51.12</v>
      </c>
      <c r="C8" s="24">
        <v>48.71</v>
      </c>
      <c r="D8" s="24">
        <v>48.29</v>
      </c>
      <c r="E8" s="24">
        <v>39.66</v>
      </c>
      <c r="F8" s="24">
        <v>39.52</v>
      </c>
      <c r="G8" s="24">
        <v>40.33</v>
      </c>
      <c r="H8" s="24">
        <v>43.33</v>
      </c>
      <c r="I8" s="25">
        <v>38.5</v>
      </c>
      <c r="J8" s="24">
        <v>35.08</v>
      </c>
      <c r="K8" s="24">
        <v>45.98</v>
      </c>
      <c r="L8" s="24">
        <v>48.08</v>
      </c>
      <c r="M8" s="24">
        <v>53.04</v>
      </c>
    </row>
    <row r="9" spans="1:13" ht="10.5" customHeight="1">
      <c r="A9" s="655">
        <v>2014</v>
      </c>
      <c r="B9" s="24">
        <v>47</v>
      </c>
      <c r="C9" s="24">
        <v>42.14</v>
      </c>
      <c r="D9" s="24">
        <v>42.78</v>
      </c>
      <c r="E9" s="24">
        <v>35.69</v>
      </c>
      <c r="F9" s="24">
        <v>36.85</v>
      </c>
      <c r="G9" s="24">
        <v>34.1</v>
      </c>
      <c r="H9" s="24">
        <v>36.59</v>
      </c>
      <c r="I9" s="25">
        <v>36.36</v>
      </c>
      <c r="J9" s="24">
        <v>31.67</v>
      </c>
      <c r="K9" s="24">
        <v>34.52</v>
      </c>
      <c r="L9" s="24">
        <v>32.88</v>
      </c>
      <c r="M9" s="24">
        <v>37.54</v>
      </c>
    </row>
    <row r="10" spans="1:13" ht="10.5" customHeight="1">
      <c r="A10" s="655">
        <v>2015</v>
      </c>
      <c r="B10" s="24">
        <v>36.68</v>
      </c>
      <c r="C10" s="24">
        <v>31.82</v>
      </c>
      <c r="D10" s="24">
        <v>32.88</v>
      </c>
      <c r="E10" s="24">
        <v>30.54</v>
      </c>
      <c r="F10" s="24">
        <v>31.24</v>
      </c>
      <c r="G10" s="24">
        <v>28.6</v>
      </c>
      <c r="H10" s="24">
        <v>30.62</v>
      </c>
      <c r="I10" s="25">
        <v>29.29</v>
      </c>
      <c r="J10" s="24">
        <v>25.3</v>
      </c>
      <c r="K10" s="24">
        <v>29.92</v>
      </c>
      <c r="L10" s="24">
        <v>30.82</v>
      </c>
      <c r="M10" s="24">
        <v>34.5</v>
      </c>
    </row>
    <row r="11" spans="1:13" ht="10.5" customHeight="1">
      <c r="A11" s="655">
        <v>2016</v>
      </c>
      <c r="B11" s="24">
        <v>34.69</v>
      </c>
      <c r="C11" s="24">
        <v>29</v>
      </c>
      <c r="D11" s="24">
        <v>29.93</v>
      </c>
      <c r="E11" s="24">
        <v>26.07</v>
      </c>
      <c r="F11" s="24">
        <v>26.97</v>
      </c>
      <c r="G11" s="24">
        <v>24.35</v>
      </c>
      <c r="H11" s="24">
        <v>25.97</v>
      </c>
      <c r="I11" s="25">
        <v>25.15</v>
      </c>
      <c r="J11" s="24">
        <v>22.12</v>
      </c>
      <c r="K11" s="24">
        <v>27.11</v>
      </c>
      <c r="L11" s="24">
        <v>29.3</v>
      </c>
      <c r="M11" s="24">
        <v>30.99</v>
      </c>
    </row>
    <row r="12" spans="1:14" ht="10.5" customHeight="1">
      <c r="A12" s="129">
        <v>2017</v>
      </c>
      <c r="B12" s="230">
        <v>33.5</v>
      </c>
      <c r="C12" s="230">
        <v>27.63</v>
      </c>
      <c r="D12" s="230">
        <v>28.66</v>
      </c>
      <c r="E12" s="230">
        <v>25.81</v>
      </c>
      <c r="F12" s="230">
        <v>25.88</v>
      </c>
      <c r="G12" s="230">
        <v>28.31</v>
      </c>
      <c r="H12" s="230">
        <v>24.69</v>
      </c>
      <c r="I12" s="231">
        <v>23.29</v>
      </c>
      <c r="J12" s="230">
        <v>19.79</v>
      </c>
      <c r="K12" s="230">
        <v>23.76</v>
      </c>
      <c r="L12" s="230">
        <v>23.55</v>
      </c>
      <c r="M12" s="230">
        <v>27.9</v>
      </c>
      <c r="N12" s="236">
        <v>26.41</v>
      </c>
    </row>
    <row r="13" spans="1:14" ht="10.5" customHeight="1">
      <c r="A13" s="129">
        <v>2018</v>
      </c>
      <c r="B13" s="230">
        <v>30.65</v>
      </c>
      <c r="C13" s="230">
        <v>24.91</v>
      </c>
      <c r="D13" s="230">
        <v>27.22</v>
      </c>
      <c r="E13" s="230">
        <v>23.33</v>
      </c>
      <c r="F13" s="230">
        <v>23.03</v>
      </c>
      <c r="G13" s="230">
        <v>20.76</v>
      </c>
      <c r="H13" s="230">
        <v>21.46</v>
      </c>
      <c r="I13" s="231">
        <v>20.77</v>
      </c>
      <c r="J13" s="230">
        <v>19.32</v>
      </c>
      <c r="K13" s="230">
        <v>21.53</v>
      </c>
      <c r="L13" s="230">
        <v>22.73</v>
      </c>
      <c r="M13" s="230">
        <v>26.7</v>
      </c>
      <c r="N13" s="236">
        <v>23.9</v>
      </c>
    </row>
    <row r="14" spans="1:14" ht="10.5" customHeight="1">
      <c r="A14" s="129">
        <v>2019</v>
      </c>
      <c r="B14" s="227">
        <v>29.25</v>
      </c>
      <c r="C14" s="227">
        <v>23.21</v>
      </c>
      <c r="D14" s="227">
        <v>26.5</v>
      </c>
      <c r="E14" s="227">
        <v>21.36</v>
      </c>
      <c r="F14" s="230">
        <v>22.1</v>
      </c>
      <c r="G14" s="230">
        <v>19.92</v>
      </c>
      <c r="H14" s="230">
        <v>20.42</v>
      </c>
      <c r="I14" s="231">
        <v>19.81</v>
      </c>
      <c r="J14" s="230">
        <v>17.54</v>
      </c>
      <c r="K14" s="230">
        <v>20.4</v>
      </c>
      <c r="L14" s="230">
        <v>21.58</v>
      </c>
      <c r="M14" s="230">
        <v>24.76</v>
      </c>
      <c r="N14" s="677">
        <v>21.79</v>
      </c>
    </row>
    <row r="15" spans="1:14" ht="10.5" customHeight="1">
      <c r="A15" s="129">
        <v>2020</v>
      </c>
      <c r="B15" s="227">
        <v>28.22</v>
      </c>
      <c r="C15" s="227">
        <v>21.61</v>
      </c>
      <c r="D15" s="227">
        <v>28.36</v>
      </c>
      <c r="E15" s="227">
        <v>17.39</v>
      </c>
      <c r="F15" s="230">
        <v>19.1</v>
      </c>
      <c r="G15" s="230">
        <v>18.65</v>
      </c>
      <c r="H15" s="230">
        <v>19.69</v>
      </c>
      <c r="I15" s="231">
        <v>18.87</v>
      </c>
      <c r="J15" s="230">
        <v>16.8</v>
      </c>
      <c r="K15" s="230">
        <v>21.21</v>
      </c>
      <c r="L15" s="230">
        <v>22.79</v>
      </c>
      <c r="M15" s="230">
        <v>20.49</v>
      </c>
      <c r="N15" s="677">
        <v>21.48</v>
      </c>
    </row>
    <row r="16" spans="1:14" ht="10.5" customHeight="1">
      <c r="A16" s="129">
        <v>2021</v>
      </c>
      <c r="B16" s="227">
        <v>27.87</v>
      </c>
      <c r="C16" s="227">
        <v>20.1</v>
      </c>
      <c r="D16" s="227">
        <v>25.92</v>
      </c>
      <c r="E16" s="227">
        <v>21.08</v>
      </c>
      <c r="F16" s="230">
        <v>17.92</v>
      </c>
      <c r="G16" s="230">
        <v>18.34</v>
      </c>
      <c r="H16" s="230">
        <v>18.75</v>
      </c>
      <c r="I16" s="231">
        <v>17.93</v>
      </c>
      <c r="J16" s="230">
        <v>16.22</v>
      </c>
      <c r="K16" s="230">
        <v>18.56</v>
      </c>
      <c r="L16" s="230">
        <v>19.88</v>
      </c>
      <c r="M16" s="230">
        <v>20.25</v>
      </c>
      <c r="N16" s="677">
        <v>20.62</v>
      </c>
    </row>
    <row r="17" spans="1:14" ht="10.5" customHeight="1">
      <c r="A17" s="129">
        <v>2022</v>
      </c>
      <c r="B17" s="227">
        <v>28.42</v>
      </c>
      <c r="C17" s="227">
        <v>19.66</v>
      </c>
      <c r="D17" s="227">
        <v>23.68</v>
      </c>
      <c r="E17" s="678">
        <v>18.24</v>
      </c>
      <c r="F17" s="230">
        <v>17.08</v>
      </c>
      <c r="G17" s="230">
        <v>17.3</v>
      </c>
      <c r="H17" s="230">
        <v>18.42</v>
      </c>
      <c r="I17" s="231">
        <v>16.81</v>
      </c>
      <c r="J17" s="230">
        <v>14.94</v>
      </c>
      <c r="K17" s="230">
        <v>18.36</v>
      </c>
      <c r="L17" s="230">
        <v>18.38</v>
      </c>
      <c r="M17" s="230">
        <v>19.76</v>
      </c>
      <c r="N17" s="1400">
        <v>19.7</v>
      </c>
    </row>
    <row r="18" spans="1:13" ht="10.5" customHeight="1">
      <c r="A18" s="2"/>
      <c r="B18" s="3"/>
      <c r="C18" s="3"/>
      <c r="D18" s="3"/>
      <c r="E18" s="3"/>
      <c r="F18" s="3"/>
      <c r="G18" s="3"/>
      <c r="H18" s="3"/>
      <c r="I18" s="4"/>
      <c r="J18" s="3"/>
      <c r="K18" s="3"/>
      <c r="L18" s="3"/>
      <c r="M18" s="2"/>
    </row>
    <row r="19" spans="1:13" ht="12.75" customHeight="1">
      <c r="A19" s="1905" t="s">
        <v>1094</v>
      </c>
      <c r="B19" s="1905"/>
      <c r="C19" s="1905"/>
      <c r="D19" s="1905"/>
      <c r="E19" s="1905"/>
      <c r="F19" s="1905"/>
      <c r="G19" s="1905"/>
      <c r="H19" s="1905"/>
      <c r="I19" s="1905"/>
      <c r="J19" s="1905"/>
      <c r="K19" s="1905"/>
      <c r="L19" s="1905"/>
      <c r="M19" s="1905"/>
    </row>
    <row r="20" spans="1:13" ht="10.5" customHeight="1">
      <c r="A20" s="237"/>
      <c r="B20" s="23" t="s">
        <v>12</v>
      </c>
      <c r="C20" s="23" t="s">
        <v>13</v>
      </c>
      <c r="D20" s="23" t="s">
        <v>14</v>
      </c>
      <c r="E20" s="23" t="s">
        <v>25</v>
      </c>
      <c r="F20" s="23" t="s">
        <v>16</v>
      </c>
      <c r="G20" s="23" t="s">
        <v>17</v>
      </c>
      <c r="H20" s="227" t="s">
        <v>18</v>
      </c>
      <c r="I20" s="227" t="s">
        <v>19</v>
      </c>
      <c r="J20" s="227" t="s">
        <v>20</v>
      </c>
      <c r="K20" s="227" t="s">
        <v>21</v>
      </c>
      <c r="L20" s="227" t="s">
        <v>22</v>
      </c>
      <c r="M20" s="227" t="s">
        <v>23</v>
      </c>
    </row>
    <row r="21" spans="1:13" ht="10.5" customHeight="1">
      <c r="A21" s="655">
        <v>2009</v>
      </c>
      <c r="B21" s="26">
        <v>69.32</v>
      </c>
      <c r="C21" s="26">
        <v>85.95</v>
      </c>
      <c r="D21" s="26">
        <v>74.38</v>
      </c>
      <c r="E21" s="26">
        <v>86.58</v>
      </c>
      <c r="F21" s="26">
        <v>86.31</v>
      </c>
      <c r="G21" s="26">
        <v>76.37</v>
      </c>
      <c r="H21" s="26">
        <v>75.4</v>
      </c>
      <c r="I21" s="26">
        <v>72.46</v>
      </c>
      <c r="J21" s="26">
        <v>83.2</v>
      </c>
      <c r="K21" s="26">
        <v>80.82</v>
      </c>
      <c r="L21" s="26">
        <v>61.77</v>
      </c>
      <c r="M21" s="26">
        <v>70.01</v>
      </c>
    </row>
    <row r="22" spans="1:13" ht="10.5" customHeight="1">
      <c r="A22" s="655">
        <v>2010</v>
      </c>
      <c r="B22" s="26">
        <v>55.37</v>
      </c>
      <c r="C22" s="26">
        <v>66.28</v>
      </c>
      <c r="D22" s="26">
        <v>86.63</v>
      </c>
      <c r="E22" s="26">
        <v>89.46</v>
      </c>
      <c r="F22" s="26">
        <v>86.7</v>
      </c>
      <c r="G22" s="26">
        <v>79.42</v>
      </c>
      <c r="H22" s="26">
        <v>74.84</v>
      </c>
      <c r="I22" s="26">
        <v>124.98</v>
      </c>
      <c r="J22" s="26">
        <v>84.2</v>
      </c>
      <c r="K22" s="26">
        <v>70.81</v>
      </c>
      <c r="L22" s="26">
        <v>56.15</v>
      </c>
      <c r="M22" s="26">
        <v>66.48</v>
      </c>
    </row>
    <row r="23" spans="1:13" ht="10.5" customHeight="1">
      <c r="A23" s="655">
        <v>2011</v>
      </c>
      <c r="B23" s="26">
        <v>67.26</v>
      </c>
      <c r="C23" s="26">
        <v>57.61</v>
      </c>
      <c r="D23" s="26">
        <v>87.66</v>
      </c>
      <c r="E23" s="26">
        <v>71.61</v>
      </c>
      <c r="F23" s="26">
        <v>96.73</v>
      </c>
      <c r="G23" s="26">
        <v>73</v>
      </c>
      <c r="H23" s="26">
        <v>65</v>
      </c>
      <c r="I23" s="26">
        <v>81</v>
      </c>
      <c r="J23" s="26">
        <v>66</v>
      </c>
      <c r="K23" s="26">
        <v>63.86</v>
      </c>
      <c r="L23" s="26">
        <v>51.47</v>
      </c>
      <c r="M23" s="26">
        <v>87.3</v>
      </c>
    </row>
    <row r="24" spans="1:13" ht="10.5" customHeight="1">
      <c r="A24" s="655">
        <v>2012</v>
      </c>
      <c r="B24" s="26">
        <v>59.8</v>
      </c>
      <c r="C24" s="26">
        <v>79.2</v>
      </c>
      <c r="D24" s="26">
        <v>78.5</v>
      </c>
      <c r="E24" s="26">
        <v>78</v>
      </c>
      <c r="F24" s="26">
        <v>94.7</v>
      </c>
      <c r="G24" s="26">
        <v>83.5</v>
      </c>
      <c r="H24" s="26">
        <v>91.6</v>
      </c>
      <c r="I24" s="26">
        <v>102.9</v>
      </c>
      <c r="J24" s="26">
        <v>74</v>
      </c>
      <c r="K24" s="26">
        <v>98</v>
      </c>
      <c r="L24" s="26">
        <v>72.6</v>
      </c>
      <c r="M24" s="26">
        <v>78</v>
      </c>
    </row>
    <row r="25" spans="1:16" ht="10.5" customHeight="1">
      <c r="A25" s="655">
        <v>2013</v>
      </c>
      <c r="B25" s="26">
        <v>61.4</v>
      </c>
      <c r="C25" s="26">
        <v>63.7</v>
      </c>
      <c r="D25" s="26">
        <v>86.2</v>
      </c>
      <c r="E25" s="26">
        <v>80.7</v>
      </c>
      <c r="F25" s="26">
        <v>79.1</v>
      </c>
      <c r="G25" s="26">
        <v>69.6</v>
      </c>
      <c r="H25" s="26">
        <v>87.9</v>
      </c>
      <c r="I25" s="26">
        <v>90.1</v>
      </c>
      <c r="J25" s="26">
        <v>78.5</v>
      </c>
      <c r="K25" s="26">
        <v>84.3</v>
      </c>
      <c r="L25" s="27">
        <v>89</v>
      </c>
      <c r="M25" s="27">
        <v>102</v>
      </c>
      <c r="N25" s="28"/>
      <c r="O25" s="28"/>
      <c r="P25" s="28"/>
    </row>
    <row r="26" spans="1:13" ht="10.5" customHeight="1">
      <c r="A26" s="655">
        <v>2014</v>
      </c>
      <c r="B26" s="27">
        <v>84.9</v>
      </c>
      <c r="C26" s="27">
        <v>77.1</v>
      </c>
      <c r="D26" s="27">
        <v>85.9</v>
      </c>
      <c r="E26" s="24">
        <v>85.5</v>
      </c>
      <c r="F26" s="24">
        <v>81.9</v>
      </c>
      <c r="G26" s="24">
        <v>80.2</v>
      </c>
      <c r="H26" s="24">
        <v>86.7</v>
      </c>
      <c r="I26" s="29">
        <v>83.6</v>
      </c>
      <c r="J26" s="24">
        <v>102.6</v>
      </c>
      <c r="K26" s="24">
        <v>101</v>
      </c>
      <c r="L26" s="24">
        <v>101.9</v>
      </c>
      <c r="M26" s="26">
        <v>141</v>
      </c>
    </row>
    <row r="27" spans="1:16" ht="10.5" customHeight="1">
      <c r="A27" s="655">
        <v>2015</v>
      </c>
      <c r="B27" s="27">
        <v>112.7</v>
      </c>
      <c r="C27" s="27">
        <v>120.5</v>
      </c>
      <c r="D27" s="27">
        <v>103.7</v>
      </c>
      <c r="E27" s="24">
        <v>86.6</v>
      </c>
      <c r="F27" s="24">
        <v>95.7</v>
      </c>
      <c r="G27" s="24">
        <v>97.1</v>
      </c>
      <c r="H27" s="24">
        <v>98.4</v>
      </c>
      <c r="I27" s="29">
        <v>104.7</v>
      </c>
      <c r="J27" s="24">
        <v>95.3</v>
      </c>
      <c r="K27" s="24">
        <v>100.3</v>
      </c>
      <c r="L27" s="24">
        <v>92.2</v>
      </c>
      <c r="M27" s="26">
        <v>100.7</v>
      </c>
      <c r="P27" s="2"/>
    </row>
    <row r="28" spans="1:16" ht="10.5" customHeight="1">
      <c r="A28" s="655">
        <v>2016</v>
      </c>
      <c r="B28" s="27">
        <v>92.1</v>
      </c>
      <c r="C28" s="27">
        <v>87</v>
      </c>
      <c r="D28" s="27">
        <v>95.6</v>
      </c>
      <c r="E28" s="24">
        <v>90.1</v>
      </c>
      <c r="F28" s="24">
        <v>99.1</v>
      </c>
      <c r="G28" s="24">
        <v>92</v>
      </c>
      <c r="H28" s="24">
        <v>94.2</v>
      </c>
      <c r="I28" s="29">
        <v>96.7</v>
      </c>
      <c r="J28" s="24">
        <v>91.5</v>
      </c>
      <c r="K28" s="24">
        <v>96.7</v>
      </c>
      <c r="L28" s="24">
        <v>90.3</v>
      </c>
      <c r="M28" s="26">
        <v>96.7</v>
      </c>
      <c r="P28" s="233"/>
    </row>
    <row r="29" spans="1:16" ht="10.5" customHeight="1">
      <c r="A29" s="655">
        <v>2017</v>
      </c>
      <c r="B29" s="27">
        <v>85.2</v>
      </c>
      <c r="C29" s="27">
        <v>87.6</v>
      </c>
      <c r="D29" s="27">
        <v>105.7</v>
      </c>
      <c r="E29" s="230">
        <v>94.5</v>
      </c>
      <c r="F29" s="230">
        <v>105.7</v>
      </c>
      <c r="G29" s="230">
        <v>91.8</v>
      </c>
      <c r="H29" s="230">
        <v>104.8</v>
      </c>
      <c r="I29" s="232">
        <v>97.4</v>
      </c>
      <c r="J29" s="230">
        <v>94.6</v>
      </c>
      <c r="K29" s="230">
        <v>103.8</v>
      </c>
      <c r="L29" s="230">
        <v>92.7</v>
      </c>
      <c r="M29" s="27">
        <v>100.1</v>
      </c>
      <c r="N29" s="679">
        <v>96.6</v>
      </c>
      <c r="P29" s="2"/>
    </row>
    <row r="30" spans="1:16" ht="10.5" customHeight="1">
      <c r="A30" s="655">
        <v>2018</v>
      </c>
      <c r="B30" s="27">
        <v>96.39</v>
      </c>
      <c r="C30" s="27">
        <v>95.69</v>
      </c>
      <c r="D30" s="27">
        <v>105.82</v>
      </c>
      <c r="E30" s="230">
        <v>98.92</v>
      </c>
      <c r="F30" s="230">
        <v>111.64</v>
      </c>
      <c r="G30" s="230">
        <v>100.16</v>
      </c>
      <c r="H30" s="230">
        <v>105</v>
      </c>
      <c r="I30" s="232">
        <v>102.12</v>
      </c>
      <c r="J30" s="230">
        <v>93.03</v>
      </c>
      <c r="K30" s="230">
        <v>108.76</v>
      </c>
      <c r="L30" s="230">
        <v>96.24</v>
      </c>
      <c r="M30" s="27">
        <v>108.94</v>
      </c>
      <c r="N30" s="679">
        <v>101.59</v>
      </c>
      <c r="P30" s="2"/>
    </row>
    <row r="31" spans="1:14" ht="10.5" customHeight="1">
      <c r="A31" s="655">
        <v>2019</v>
      </c>
      <c r="B31" s="227">
        <v>90.7</v>
      </c>
      <c r="C31" s="227">
        <v>92.6</v>
      </c>
      <c r="D31" s="227">
        <v>99.8</v>
      </c>
      <c r="E31" s="227">
        <v>102.4</v>
      </c>
      <c r="F31" s="230">
        <v>102.5</v>
      </c>
      <c r="G31" s="230">
        <v>94</v>
      </c>
      <c r="H31" s="230">
        <v>104.4</v>
      </c>
      <c r="I31" s="232">
        <v>99.3</v>
      </c>
      <c r="J31" s="230">
        <v>93.9</v>
      </c>
      <c r="K31" s="230">
        <v>104.7</v>
      </c>
      <c r="L31" s="230">
        <v>89.6</v>
      </c>
      <c r="M31" s="27">
        <v>110.7</v>
      </c>
      <c r="N31" s="679">
        <v>98.4</v>
      </c>
    </row>
    <row r="32" spans="1:14" ht="10.5" customHeight="1">
      <c r="A32" s="655">
        <v>2020</v>
      </c>
      <c r="B32" s="227">
        <v>91.4</v>
      </c>
      <c r="C32" s="227">
        <v>91.6</v>
      </c>
      <c r="D32" s="227">
        <v>77.5</v>
      </c>
      <c r="E32" s="227">
        <v>106.8</v>
      </c>
      <c r="F32" s="230">
        <v>101.8</v>
      </c>
      <c r="G32" s="230">
        <v>102.2</v>
      </c>
      <c r="H32" s="230">
        <v>96.8</v>
      </c>
      <c r="I32" s="232">
        <v>95.3</v>
      </c>
      <c r="J32" s="230">
        <v>96.6</v>
      </c>
      <c r="K32" s="230">
        <v>101.1</v>
      </c>
      <c r="L32" s="230">
        <v>91.5</v>
      </c>
      <c r="M32" s="27">
        <v>101.8</v>
      </c>
      <c r="N32" s="679">
        <v>95.8</v>
      </c>
    </row>
    <row r="33" spans="1:14" ht="10.5" customHeight="1">
      <c r="A33" s="655">
        <v>2021</v>
      </c>
      <c r="B33" s="227">
        <v>86.4</v>
      </c>
      <c r="C33" s="227">
        <v>88.9</v>
      </c>
      <c r="D33" s="227">
        <v>102.1</v>
      </c>
      <c r="E33" s="227">
        <v>91</v>
      </c>
      <c r="F33" s="230">
        <v>101.2</v>
      </c>
      <c r="G33" s="230">
        <v>110.7</v>
      </c>
      <c r="H33" s="230">
        <v>96.9</v>
      </c>
      <c r="I33" s="232">
        <v>94.1</v>
      </c>
      <c r="J33" s="230">
        <v>90.7</v>
      </c>
      <c r="K33" s="230">
        <v>114.7</v>
      </c>
      <c r="L33" s="230">
        <v>96.9</v>
      </c>
      <c r="M33" s="27">
        <v>101.5</v>
      </c>
      <c r="N33" s="679">
        <v>97.4</v>
      </c>
    </row>
    <row r="34" spans="1:14" ht="12" customHeight="1">
      <c r="A34" s="655">
        <v>2022</v>
      </c>
      <c r="B34" s="227">
        <v>90.6</v>
      </c>
      <c r="C34" s="227">
        <v>84.3</v>
      </c>
      <c r="D34" s="227">
        <v>102.7</v>
      </c>
      <c r="E34" s="678">
        <v>90.5</v>
      </c>
      <c r="F34" s="230">
        <v>98</v>
      </c>
      <c r="G34" s="230">
        <v>97.9</v>
      </c>
      <c r="H34" s="230">
        <v>99.9</v>
      </c>
      <c r="I34" s="232">
        <v>105</v>
      </c>
      <c r="J34" s="230">
        <v>100.6</v>
      </c>
      <c r="K34" s="230">
        <v>104.5</v>
      </c>
      <c r="L34" s="230">
        <v>102.3</v>
      </c>
      <c r="M34" s="27">
        <v>102.9</v>
      </c>
      <c r="N34" s="679">
        <v>98</v>
      </c>
    </row>
    <row r="35" spans="1:13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1906" t="s">
        <v>1095</v>
      </c>
      <c r="B36" s="1906"/>
      <c r="C36" s="1906"/>
      <c r="D36" s="1906"/>
      <c r="E36" s="1906"/>
      <c r="F36" s="1906"/>
      <c r="G36" s="1906"/>
      <c r="H36" s="1906"/>
      <c r="I36" s="1906"/>
      <c r="J36" s="1906"/>
      <c r="K36" s="1906"/>
      <c r="L36" s="1906"/>
      <c r="M36" s="1906"/>
    </row>
    <row r="37" spans="1:13" ht="10.5" customHeight="1">
      <c r="A37" s="237"/>
      <c r="B37" s="23" t="s">
        <v>12</v>
      </c>
      <c r="C37" s="23" t="s">
        <v>13</v>
      </c>
      <c r="D37" s="23" t="s">
        <v>14</v>
      </c>
      <c r="E37" s="23" t="s">
        <v>25</v>
      </c>
      <c r="F37" s="23" t="s">
        <v>16</v>
      </c>
      <c r="G37" s="23" t="s">
        <v>17</v>
      </c>
      <c r="H37" s="227" t="s">
        <v>18</v>
      </c>
      <c r="I37" s="227" t="s">
        <v>19</v>
      </c>
      <c r="J37" s="227" t="s">
        <v>20</v>
      </c>
      <c r="K37" s="227" t="s">
        <v>21</v>
      </c>
      <c r="L37" s="227" t="s">
        <v>22</v>
      </c>
      <c r="M37" s="227" t="s">
        <v>23</v>
      </c>
    </row>
    <row r="38" spans="1:13" ht="10.5" customHeight="1">
      <c r="A38" s="655">
        <v>2009</v>
      </c>
      <c r="B38" s="30">
        <f aca="true" t="shared" si="0" ref="B38:N51">(1-B4/100)*B21/100</f>
        <v>0.410721</v>
      </c>
      <c r="C38" s="30">
        <f t="shared" si="0"/>
        <v>0.54105525</v>
      </c>
      <c r="D38" s="30">
        <f t="shared" si="0"/>
        <v>0.4607841</v>
      </c>
      <c r="E38" s="30">
        <f t="shared" si="0"/>
        <v>0.5806920600000001</v>
      </c>
      <c r="F38" s="30">
        <f t="shared" si="0"/>
        <v>0.57447936</v>
      </c>
      <c r="G38" s="30">
        <f t="shared" si="0"/>
        <v>0.52886225</v>
      </c>
      <c r="H38" s="30">
        <f t="shared" si="0"/>
        <v>0.508222330041059</v>
      </c>
      <c r="I38" s="30">
        <f t="shared" si="0"/>
        <v>0.5057959584585597</v>
      </c>
      <c r="J38" s="30">
        <f t="shared" si="0"/>
        <v>0.6211667591741659</v>
      </c>
      <c r="K38" s="30">
        <f t="shared" si="0"/>
        <v>0.56036476477376</v>
      </c>
      <c r="L38" s="30">
        <f t="shared" si="0"/>
        <v>0.41116888068240925</v>
      </c>
      <c r="M38" s="30">
        <f t="shared" si="0"/>
        <v>0.44182229144556795</v>
      </c>
    </row>
    <row r="39" spans="1:13" ht="10.5" customHeight="1">
      <c r="A39" s="655">
        <v>2010</v>
      </c>
      <c r="B39" s="30">
        <f t="shared" si="0"/>
        <v>0.33988694651864976</v>
      </c>
      <c r="C39" s="30">
        <f t="shared" si="0"/>
        <v>0.4280909310504658</v>
      </c>
      <c r="D39" s="30">
        <f t="shared" si="0"/>
        <v>0.5466177050717479</v>
      </c>
      <c r="E39" s="30">
        <f t="shared" si="0"/>
        <v>0.613922190995689</v>
      </c>
      <c r="F39" s="30">
        <f t="shared" si="0"/>
        <v>0.5621193564206868</v>
      </c>
      <c r="G39" s="30">
        <f t="shared" si="0"/>
        <v>0.5444241000000001</v>
      </c>
      <c r="H39" s="30">
        <f t="shared" si="0"/>
        <v>0.5467810399999999</v>
      </c>
      <c r="I39" s="30">
        <f t="shared" si="0"/>
        <v>0.87873438</v>
      </c>
      <c r="J39" s="30">
        <f t="shared" si="0"/>
        <v>0.6612226</v>
      </c>
      <c r="K39" s="30">
        <f t="shared" si="0"/>
        <v>0.5621605900000001</v>
      </c>
      <c r="L39" s="30">
        <f t="shared" si="0"/>
        <v>0.43707159999999995</v>
      </c>
      <c r="M39" s="30">
        <f t="shared" si="0"/>
        <v>0.47167560000000003</v>
      </c>
    </row>
    <row r="40" spans="1:13" ht="10.5" customHeight="1">
      <c r="A40" s="655">
        <v>2011</v>
      </c>
      <c r="B40" s="30">
        <f t="shared" si="0"/>
        <v>0.2989764166748092</v>
      </c>
      <c r="C40" s="30">
        <f t="shared" si="0"/>
        <v>0.3571771635033849</v>
      </c>
      <c r="D40" s="30">
        <f t="shared" si="0"/>
        <v>0.5527159888532478</v>
      </c>
      <c r="E40" s="30">
        <f t="shared" si="0"/>
        <v>0.5505892613593271</v>
      </c>
      <c r="F40" s="30">
        <f t="shared" si="0"/>
        <v>0.7269527903905977</v>
      </c>
      <c r="G40" s="30">
        <f t="shared" si="0"/>
        <v>0.5745990821171045</v>
      </c>
      <c r="H40" s="30">
        <f t="shared" si="0"/>
        <v>0.5077741738431212</v>
      </c>
      <c r="I40" s="30">
        <f t="shared" si="0"/>
        <v>0.652779</v>
      </c>
      <c r="J40" s="30">
        <f t="shared" si="0"/>
        <v>0.5085299999999999</v>
      </c>
      <c r="K40" s="30">
        <f t="shared" si="0"/>
        <v>0.4779921</v>
      </c>
      <c r="L40" s="30">
        <f t="shared" si="0"/>
        <v>0.34896659999999996</v>
      </c>
      <c r="M40" s="30">
        <f t="shared" si="0"/>
        <v>0.5613389999999999</v>
      </c>
    </row>
    <row r="41" spans="1:13" ht="10.5" customHeight="1">
      <c r="A41" s="655">
        <v>2012</v>
      </c>
      <c r="B41" s="30">
        <f t="shared" si="0"/>
        <v>0.38439439999999997</v>
      </c>
      <c r="C41" s="30">
        <f t="shared" si="0"/>
        <v>0.3234771944580872</v>
      </c>
      <c r="D41" s="30">
        <f t="shared" si="0"/>
        <v>0.3514670626585057</v>
      </c>
      <c r="E41" s="30">
        <f t="shared" si="0"/>
        <v>0.42576588902314344</v>
      </c>
      <c r="F41" s="30">
        <f t="shared" si="0"/>
        <v>0.5788796565335097</v>
      </c>
      <c r="G41" s="30">
        <f t="shared" si="0"/>
        <v>0.5029372727031404</v>
      </c>
      <c r="H41" s="30">
        <f t="shared" si="0"/>
        <v>0.4991664157631249</v>
      </c>
      <c r="I41" s="30">
        <f t="shared" si="0"/>
        <v>0.5606795075522836</v>
      </c>
      <c r="J41" s="30">
        <f t="shared" si="0"/>
        <v>0.4285339999999999</v>
      </c>
      <c r="K41" s="30">
        <f t="shared" si="0"/>
        <v>0.6318060000000001</v>
      </c>
      <c r="L41" s="30">
        <f t="shared" si="0"/>
        <v>0.42187859999999994</v>
      </c>
      <c r="M41" s="30">
        <f t="shared" si="0"/>
        <v>0.39530399999999993</v>
      </c>
    </row>
    <row r="42" spans="1:13" ht="10.5" customHeight="1">
      <c r="A42" s="655">
        <v>2013</v>
      </c>
      <c r="B42" s="30">
        <f t="shared" si="0"/>
        <v>0.3001232</v>
      </c>
      <c r="C42" s="30">
        <f t="shared" si="0"/>
        <v>0.3267173</v>
      </c>
      <c r="D42" s="30">
        <f t="shared" si="0"/>
        <v>0.44574020000000003</v>
      </c>
      <c r="E42" s="30">
        <f t="shared" si="0"/>
        <v>0.48694380000000004</v>
      </c>
      <c r="F42" s="30">
        <f t="shared" si="0"/>
        <v>0.47839679999999996</v>
      </c>
      <c r="G42" s="30">
        <f t="shared" si="0"/>
        <v>0.4153032</v>
      </c>
      <c r="H42" s="30">
        <f t="shared" si="0"/>
        <v>0.4981293</v>
      </c>
      <c r="I42" s="30">
        <f t="shared" si="0"/>
        <v>0.5541149999999999</v>
      </c>
      <c r="J42" s="30">
        <f t="shared" si="0"/>
        <v>0.509622</v>
      </c>
      <c r="K42" s="30">
        <f t="shared" si="0"/>
        <v>0.4553886</v>
      </c>
      <c r="L42" s="30">
        <f t="shared" si="0"/>
        <v>0.46208799999999994</v>
      </c>
      <c r="M42" s="30">
        <f t="shared" si="0"/>
        <v>0.47899200000000003</v>
      </c>
    </row>
    <row r="43" spans="1:13" ht="10.5" customHeight="1">
      <c r="A43" s="655">
        <v>2014</v>
      </c>
      <c r="B43" s="30">
        <f t="shared" si="0"/>
        <v>0.4499700000000001</v>
      </c>
      <c r="C43" s="30">
        <f t="shared" si="0"/>
        <v>0.44610059999999996</v>
      </c>
      <c r="D43" s="30">
        <f t="shared" si="0"/>
        <v>0.49151980000000006</v>
      </c>
      <c r="E43" s="30">
        <f t="shared" si="0"/>
        <v>0.5498505</v>
      </c>
      <c r="F43" s="30">
        <f t="shared" si="0"/>
        <v>0.5171985</v>
      </c>
      <c r="G43" s="30">
        <f t="shared" si="0"/>
        <v>0.528518</v>
      </c>
      <c r="H43" s="30">
        <f t="shared" si="0"/>
        <v>0.5497646999999999</v>
      </c>
      <c r="I43" s="30">
        <f t="shared" si="0"/>
        <v>0.5320304</v>
      </c>
      <c r="J43" s="30">
        <f t="shared" si="0"/>
        <v>0.7010658</v>
      </c>
      <c r="K43" s="30">
        <f t="shared" si="0"/>
        <v>0.6613479999999999</v>
      </c>
      <c r="L43" s="30">
        <f t="shared" si="0"/>
        <v>0.6839528</v>
      </c>
      <c r="M43" s="30">
        <f t="shared" si="0"/>
        <v>0.8806860000000001</v>
      </c>
    </row>
    <row r="44" spans="1:13" ht="10.5" customHeight="1">
      <c r="A44" s="655">
        <v>2015</v>
      </c>
      <c r="B44" s="30">
        <f t="shared" si="0"/>
        <v>0.7136163999999999</v>
      </c>
      <c r="C44" s="30">
        <f t="shared" si="0"/>
        <v>0.8215689999999999</v>
      </c>
      <c r="D44" s="30">
        <f t="shared" si="0"/>
        <v>0.6960344</v>
      </c>
      <c r="E44" s="30">
        <f t="shared" si="0"/>
        <v>0.6015235999999999</v>
      </c>
      <c r="F44" s="30">
        <f t="shared" si="0"/>
        <v>0.6580332</v>
      </c>
      <c r="G44" s="30">
        <f t="shared" si="0"/>
        <v>0.693294</v>
      </c>
      <c r="H44" s="30">
        <f t="shared" si="0"/>
        <v>0.6826992</v>
      </c>
      <c r="I44" s="30">
        <f t="shared" si="0"/>
        <v>0.7403337000000001</v>
      </c>
      <c r="J44" s="30">
        <f t="shared" si="0"/>
        <v>0.7118909999999999</v>
      </c>
      <c r="K44" s="30">
        <f t="shared" si="0"/>
        <v>0.7029023999999999</v>
      </c>
      <c r="L44" s="30">
        <f t="shared" si="0"/>
        <v>0.6378396</v>
      </c>
      <c r="M44" s="30">
        <f t="shared" si="0"/>
        <v>0.659585</v>
      </c>
    </row>
    <row r="45" spans="1:13" ht="10.5" customHeight="1">
      <c r="A45" s="655">
        <v>2016</v>
      </c>
      <c r="B45" s="30">
        <f t="shared" si="0"/>
        <v>0.6015051</v>
      </c>
      <c r="C45" s="30">
        <f t="shared" si="0"/>
        <v>0.6176999999999999</v>
      </c>
      <c r="D45" s="30">
        <f t="shared" si="0"/>
        <v>0.6698691999999999</v>
      </c>
      <c r="E45" s="30">
        <f t="shared" si="0"/>
        <v>0.6661093</v>
      </c>
      <c r="F45" s="30">
        <f t="shared" si="0"/>
        <v>0.7237272999999999</v>
      </c>
      <c r="G45" s="30">
        <f t="shared" si="0"/>
        <v>0.69598</v>
      </c>
      <c r="H45" s="30">
        <f t="shared" si="0"/>
        <v>0.6973626</v>
      </c>
      <c r="I45" s="30">
        <f t="shared" si="0"/>
        <v>0.7237994999999999</v>
      </c>
      <c r="J45" s="30">
        <f t="shared" si="0"/>
        <v>0.712602</v>
      </c>
      <c r="K45" s="30">
        <f t="shared" si="0"/>
        <v>0.7048462999999999</v>
      </c>
      <c r="L45" s="30">
        <f t="shared" si="0"/>
        <v>0.638421</v>
      </c>
      <c r="M45" s="30">
        <f t="shared" si="0"/>
        <v>0.6673266999999999</v>
      </c>
    </row>
    <row r="46" spans="1:14" ht="10.5" customHeight="1">
      <c r="A46" s="655">
        <v>2017</v>
      </c>
      <c r="B46" s="234">
        <f t="shared" si="0"/>
        <v>0.5665800000000001</v>
      </c>
      <c r="C46" s="234">
        <f t="shared" si="0"/>
        <v>0.6339612</v>
      </c>
      <c r="D46" s="234">
        <f t="shared" si="0"/>
        <v>0.7540638</v>
      </c>
      <c r="E46" s="234">
        <f t="shared" si="0"/>
        <v>0.7010955</v>
      </c>
      <c r="F46" s="234">
        <f t="shared" si="0"/>
        <v>0.7834484</v>
      </c>
      <c r="G46" s="234">
        <f t="shared" si="0"/>
        <v>0.6581142000000001</v>
      </c>
      <c r="H46" s="234">
        <f t="shared" si="0"/>
        <v>0.7892488</v>
      </c>
      <c r="I46" s="234">
        <f t="shared" si="0"/>
        <v>0.7471554</v>
      </c>
      <c r="J46" s="234">
        <f t="shared" si="0"/>
        <v>0.7587866</v>
      </c>
      <c r="K46" s="234">
        <f t="shared" si="0"/>
        <v>0.7913711999999999</v>
      </c>
      <c r="L46" s="234">
        <f t="shared" si="0"/>
        <v>0.7086915</v>
      </c>
      <c r="M46" s="234">
        <f t="shared" si="0"/>
        <v>0.7217210000000001</v>
      </c>
      <c r="N46" s="238">
        <f t="shared" si="0"/>
        <v>0.7108793999999999</v>
      </c>
    </row>
    <row r="47" spans="1:14" ht="10.5" customHeight="1">
      <c r="A47" s="655">
        <v>2018</v>
      </c>
      <c r="B47" s="234">
        <f t="shared" si="0"/>
        <v>0.66846465</v>
      </c>
      <c r="C47" s="234">
        <f t="shared" si="0"/>
        <v>0.71853621</v>
      </c>
      <c r="D47" s="234">
        <f t="shared" si="0"/>
        <v>0.7701579599999999</v>
      </c>
      <c r="E47" s="234">
        <f t="shared" si="0"/>
        <v>0.7584196400000001</v>
      </c>
      <c r="F47" s="234">
        <f t="shared" si="0"/>
        <v>0.85929308</v>
      </c>
      <c r="G47" s="234">
        <f t="shared" si="0"/>
        <v>0.7936678399999999</v>
      </c>
      <c r="H47" s="234">
        <f t="shared" si="0"/>
        <v>0.82467</v>
      </c>
      <c r="I47" s="234">
        <f t="shared" si="0"/>
        <v>0.8090967600000001</v>
      </c>
      <c r="J47" s="234">
        <f t="shared" si="0"/>
        <v>0.7505660399999999</v>
      </c>
      <c r="K47" s="234">
        <f t="shared" si="0"/>
        <v>0.8534397199999999</v>
      </c>
      <c r="L47" s="234">
        <f t="shared" si="0"/>
        <v>0.7436464799999999</v>
      </c>
      <c r="M47" s="234">
        <f t="shared" si="0"/>
        <v>0.7985302</v>
      </c>
      <c r="N47" s="238">
        <f t="shared" si="0"/>
        <v>0.7730999</v>
      </c>
    </row>
    <row r="48" spans="1:14" ht="10.5" customHeight="1">
      <c r="A48" s="655">
        <v>2019</v>
      </c>
      <c r="B48" s="234">
        <f t="shared" si="0"/>
        <v>0.6417025000000001</v>
      </c>
      <c r="C48" s="234">
        <f t="shared" si="0"/>
        <v>0.7110754</v>
      </c>
      <c r="D48" s="234">
        <f t="shared" si="0"/>
        <v>0.7335299999999999</v>
      </c>
      <c r="E48" s="234">
        <f t="shared" si="0"/>
        <v>0.8052736</v>
      </c>
      <c r="F48" s="234">
        <f t="shared" si="0"/>
        <v>0.7984749999999999</v>
      </c>
      <c r="G48" s="234">
        <f t="shared" si="0"/>
        <v>0.752752</v>
      </c>
      <c r="H48" s="234">
        <f t="shared" si="0"/>
        <v>0.8308152</v>
      </c>
      <c r="I48" s="234">
        <f t="shared" si="0"/>
        <v>0.7962867</v>
      </c>
      <c r="J48" s="234">
        <f t="shared" si="0"/>
        <v>0.7742994</v>
      </c>
      <c r="K48" s="234">
        <f t="shared" si="0"/>
        <v>0.833412</v>
      </c>
      <c r="L48" s="234">
        <f t="shared" si="0"/>
        <v>0.7026432</v>
      </c>
      <c r="M48" s="234">
        <f t="shared" si="0"/>
        <v>0.8329068</v>
      </c>
      <c r="N48" s="238">
        <f t="shared" si="0"/>
        <v>0.7695864</v>
      </c>
    </row>
    <row r="49" spans="1:14" ht="10.5" customHeight="1">
      <c r="A49" s="655">
        <v>2020</v>
      </c>
      <c r="B49" s="234">
        <f t="shared" si="0"/>
        <v>0.6560692</v>
      </c>
      <c r="C49" s="234">
        <f t="shared" si="0"/>
        <v>0.7180523999999999</v>
      </c>
      <c r="D49" s="234">
        <f t="shared" si="0"/>
        <v>0.55521</v>
      </c>
      <c r="E49" s="234">
        <f t="shared" si="0"/>
        <v>0.8822748</v>
      </c>
      <c r="F49" s="234">
        <f t="shared" si="0"/>
        <v>0.8235619999999999</v>
      </c>
      <c r="G49" s="234">
        <f t="shared" si="0"/>
        <v>0.831397</v>
      </c>
      <c r="H49" s="234">
        <f t="shared" si="0"/>
        <v>0.7774007999999999</v>
      </c>
      <c r="I49" s="234">
        <f t="shared" si="0"/>
        <v>0.7731689</v>
      </c>
      <c r="J49" s="234">
        <f t="shared" si="0"/>
        <v>0.8037119999999999</v>
      </c>
      <c r="K49" s="234">
        <f t="shared" si="0"/>
        <v>0.7965669</v>
      </c>
      <c r="L49" s="234">
        <f t="shared" si="0"/>
        <v>0.7064714999999999</v>
      </c>
      <c r="M49" s="234">
        <f t="shared" si="0"/>
        <v>0.8094118</v>
      </c>
      <c r="N49" s="238">
        <f t="shared" si="0"/>
        <v>0.7522216</v>
      </c>
    </row>
    <row r="50" spans="1:14" ht="13.5">
      <c r="A50" s="655">
        <v>2021</v>
      </c>
      <c r="B50" s="234">
        <f t="shared" si="0"/>
        <v>0.6232032000000001</v>
      </c>
      <c r="C50" s="234">
        <f t="shared" si="0"/>
        <v>0.7103109999999999</v>
      </c>
      <c r="D50" s="234">
        <f t="shared" si="0"/>
        <v>0.7563567999999998</v>
      </c>
      <c r="E50" s="234">
        <f t="shared" si="0"/>
        <v>0.718172</v>
      </c>
      <c r="F50" s="234">
        <f t="shared" si="0"/>
        <v>0.8306496</v>
      </c>
      <c r="G50" s="234">
        <f t="shared" si="0"/>
        <v>0.9039762</v>
      </c>
      <c r="H50" s="234">
        <f t="shared" si="0"/>
        <v>0.7873125000000001</v>
      </c>
      <c r="I50" s="234">
        <f t="shared" si="0"/>
        <v>0.7722787</v>
      </c>
      <c r="J50" s="234">
        <f t="shared" si="0"/>
        <v>0.7598846</v>
      </c>
      <c r="K50" s="234">
        <f t="shared" si="0"/>
        <v>0.9341168000000001</v>
      </c>
      <c r="L50" s="234">
        <f t="shared" si="0"/>
        <v>0.7763628000000001</v>
      </c>
      <c r="M50" s="234">
        <f t="shared" si="0"/>
        <v>0.8094625</v>
      </c>
      <c r="N50" s="234">
        <f t="shared" si="0"/>
        <v>0.7731612</v>
      </c>
    </row>
    <row r="51" spans="1:14" ht="13.5">
      <c r="A51" s="655">
        <v>2022</v>
      </c>
      <c r="B51" s="234">
        <f t="shared" si="0"/>
        <v>0.6485148</v>
      </c>
      <c r="C51" s="234">
        <f t="shared" si="0"/>
        <v>0.6772661999999999</v>
      </c>
      <c r="D51" s="234">
        <f t="shared" si="0"/>
        <v>0.7838064</v>
      </c>
      <c r="E51" s="234">
        <f t="shared" si="0"/>
        <v>0.739928</v>
      </c>
      <c r="F51" s="234">
        <f t="shared" si="0"/>
        <v>0.812616</v>
      </c>
      <c r="G51" s="234">
        <f t="shared" si="0"/>
        <v>0.809633</v>
      </c>
      <c r="H51" s="234">
        <f t="shared" si="0"/>
        <v>0.8149841999999999</v>
      </c>
      <c r="I51" s="234">
        <f t="shared" si="0"/>
        <v>0.8734949999999999</v>
      </c>
      <c r="J51" s="234">
        <f t="shared" si="0"/>
        <v>0.8557035999999999</v>
      </c>
      <c r="K51" s="234">
        <f t="shared" si="0"/>
        <v>0.853138</v>
      </c>
      <c r="L51" s="234">
        <f t="shared" si="0"/>
        <v>0.8349726</v>
      </c>
      <c r="M51" s="234">
        <f t="shared" si="0"/>
        <v>0.8256696000000001</v>
      </c>
      <c r="N51" s="234">
        <f t="shared" si="0"/>
        <v>0.78694</v>
      </c>
    </row>
    <row r="53" spans="1:15" ht="13.5">
      <c r="A53" s="235"/>
      <c r="B53" s="9">
        <v>2009</v>
      </c>
      <c r="C53" s="9">
        <v>2010</v>
      </c>
      <c r="D53" s="9">
        <v>2011</v>
      </c>
      <c r="E53" s="9">
        <v>2012</v>
      </c>
      <c r="F53" s="9">
        <v>2013</v>
      </c>
      <c r="G53" s="9">
        <v>2014</v>
      </c>
      <c r="H53" s="9">
        <v>2015</v>
      </c>
      <c r="I53" s="9">
        <v>2016</v>
      </c>
      <c r="J53" s="35">
        <v>2017</v>
      </c>
      <c r="K53" s="35">
        <v>2018</v>
      </c>
      <c r="L53" s="310">
        <v>2019</v>
      </c>
      <c r="M53" s="310">
        <v>2020</v>
      </c>
      <c r="N53" s="310">
        <v>2021</v>
      </c>
      <c r="O53" s="310">
        <v>2022</v>
      </c>
    </row>
    <row r="54" spans="1:15" ht="13.5">
      <c r="A54" s="20" t="s">
        <v>391</v>
      </c>
      <c r="B54" s="31">
        <v>76.4</v>
      </c>
      <c r="C54" s="31">
        <v>70.1</v>
      </c>
      <c r="D54" s="31">
        <v>70.7</v>
      </c>
      <c r="E54" s="31">
        <v>83</v>
      </c>
      <c r="F54" s="31">
        <v>79.3</v>
      </c>
      <c r="G54" s="31">
        <v>91.9</v>
      </c>
      <c r="H54" s="31">
        <v>100.8</v>
      </c>
      <c r="I54" s="31">
        <v>93.4</v>
      </c>
      <c r="J54" s="128">
        <v>96.6</v>
      </c>
      <c r="K54" s="128">
        <v>101.6</v>
      </c>
      <c r="L54" s="128">
        <v>98.4</v>
      </c>
      <c r="M54" s="128">
        <v>95.8</v>
      </c>
      <c r="N54" s="128">
        <v>97.4</v>
      </c>
      <c r="O54" s="128">
        <v>98</v>
      </c>
    </row>
    <row r="55" spans="1:15" ht="13.5">
      <c r="A55" s="20" t="s">
        <v>392</v>
      </c>
      <c r="B55" s="31">
        <v>34</v>
      </c>
      <c r="C55" s="31">
        <v>30.38</v>
      </c>
      <c r="D55" s="31">
        <v>37.58</v>
      </c>
      <c r="E55" s="31">
        <v>46.38</v>
      </c>
      <c r="F55" s="31">
        <v>45.04</v>
      </c>
      <c r="G55" s="31">
        <v>37.81</v>
      </c>
      <c r="H55" s="31">
        <v>31.34</v>
      </c>
      <c r="I55" s="31">
        <v>28.04</v>
      </c>
      <c r="J55" s="128">
        <v>26.41</v>
      </c>
      <c r="K55" s="128">
        <v>23.9</v>
      </c>
      <c r="L55" s="128">
        <v>21.79</v>
      </c>
      <c r="M55" s="128">
        <v>21.48</v>
      </c>
      <c r="N55" s="128">
        <v>20.62</v>
      </c>
      <c r="O55" s="128">
        <v>19.7</v>
      </c>
    </row>
    <row r="56" spans="1:15" ht="14.25" thickBot="1">
      <c r="A56" s="20" t="s">
        <v>393</v>
      </c>
      <c r="B56" s="31">
        <v>50.424</v>
      </c>
      <c r="C56" s="31">
        <v>48.80361999999999</v>
      </c>
      <c r="D56" s="31">
        <v>44.13094000000001</v>
      </c>
      <c r="E56" s="31">
        <v>44.5046</v>
      </c>
      <c r="F56" s="31">
        <v>43.58328</v>
      </c>
      <c r="G56" s="31">
        <v>57.152609999999996</v>
      </c>
      <c r="H56" s="31">
        <v>69.20927999999999</v>
      </c>
      <c r="I56" s="31">
        <v>67.21064000000001</v>
      </c>
      <c r="J56" s="128">
        <v>71.1</v>
      </c>
      <c r="K56" s="146">
        <v>77.3</v>
      </c>
      <c r="L56" s="146">
        <v>77</v>
      </c>
      <c r="M56" s="146">
        <v>75.2</v>
      </c>
      <c r="N56" s="146">
        <v>77.3</v>
      </c>
      <c r="O56" s="146">
        <v>78.7</v>
      </c>
    </row>
    <row r="58" spans="2:9" ht="13.5">
      <c r="B58" s="32"/>
      <c r="C58" s="32"/>
      <c r="D58" s="32"/>
      <c r="E58" s="32"/>
      <c r="F58" s="32"/>
      <c r="G58" s="32"/>
      <c r="H58" s="32"/>
      <c r="I58" s="32"/>
    </row>
    <row r="59" spans="2:9" ht="13.5">
      <c r="B59" s="33"/>
      <c r="C59" s="33"/>
      <c r="D59" s="33"/>
      <c r="E59" s="33"/>
      <c r="F59" s="33"/>
      <c r="G59" s="33"/>
      <c r="H59" s="33"/>
      <c r="I59" s="33"/>
    </row>
    <row r="87" spans="11:14" ht="13.5">
      <c r="K87" s="1870" t="s">
        <v>978</v>
      </c>
      <c r="L87" s="1870"/>
      <c r="M87" s="1870"/>
      <c r="N87" s="1870"/>
    </row>
  </sheetData>
  <sheetProtection/>
  <mergeCells count="5">
    <mergeCell ref="K87:N87"/>
    <mergeCell ref="A1:M1"/>
    <mergeCell ref="A2:M2"/>
    <mergeCell ref="A19:M19"/>
    <mergeCell ref="A36:M36"/>
  </mergeCells>
  <printOptions/>
  <pageMargins left="0.25" right="0.25" top="0.75" bottom="0.75" header="0.3" footer="0.3"/>
  <pageSetup orientation="landscape" scale="91" r:id="rId2"/>
  <rowBreaks count="1" manualBreakCount="1">
    <brk id="51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view="pageBreakPreview" zoomScaleSheetLayoutView="100" zoomScalePageLayoutView="0" workbookViewId="0" topLeftCell="A10">
      <selection activeCell="P38" sqref="P38:Q38"/>
    </sheetView>
  </sheetViews>
  <sheetFormatPr defaultColWidth="9.140625" defaultRowHeight="15"/>
  <cols>
    <col min="1" max="1" width="9.140625" style="1034" customWidth="1"/>
    <col min="2" max="2" width="18.421875" style="781" customWidth="1"/>
    <col min="3" max="6" width="8.7109375" style="781" customWidth="1"/>
    <col min="7" max="8" width="9.421875" style="781" customWidth="1"/>
    <col min="9" max="12" width="8.7109375" style="781" customWidth="1"/>
    <col min="13" max="14" width="9.28125" style="781" customWidth="1"/>
    <col min="15" max="18" width="8.7109375" style="781" customWidth="1"/>
    <col min="19" max="20" width="9.421875" style="781" customWidth="1"/>
    <col min="21" max="16384" width="9.140625" style="781" customWidth="1"/>
  </cols>
  <sheetData>
    <row r="1" spans="1:20" s="1031" customFormat="1" ht="15.75" customHeight="1" thickBot="1">
      <c r="A1" s="1932" t="s">
        <v>1335</v>
      </c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32"/>
      <c r="N1" s="1932"/>
      <c r="O1" s="1932"/>
      <c r="P1" s="1932"/>
      <c r="Q1" s="1932"/>
      <c r="R1" s="1932"/>
      <c r="S1" s="1932"/>
      <c r="T1" s="1932"/>
    </row>
    <row r="2" spans="1:20" s="1031" customFormat="1" ht="14.25" customHeight="1">
      <c r="A2" s="1927" t="s">
        <v>509</v>
      </c>
      <c r="B2" s="1942" t="s">
        <v>510</v>
      </c>
      <c r="C2" s="1927" t="s">
        <v>511</v>
      </c>
      <c r="D2" s="1938"/>
      <c r="E2" s="1938"/>
      <c r="F2" s="1938"/>
      <c r="G2" s="1938"/>
      <c r="H2" s="1942"/>
      <c r="I2" s="1927" t="s">
        <v>512</v>
      </c>
      <c r="J2" s="1938"/>
      <c r="K2" s="1938"/>
      <c r="L2" s="1938"/>
      <c r="M2" s="1938"/>
      <c r="N2" s="1942"/>
      <c r="O2" s="1927" t="s">
        <v>513</v>
      </c>
      <c r="P2" s="1938"/>
      <c r="Q2" s="1938"/>
      <c r="R2" s="1938"/>
      <c r="S2" s="1938"/>
      <c r="T2" s="1942"/>
    </row>
    <row r="3" spans="1:20" s="1032" customFormat="1" ht="28.5" customHeight="1">
      <c r="A3" s="1928"/>
      <c r="B3" s="1946"/>
      <c r="C3" s="1943" t="s">
        <v>514</v>
      </c>
      <c r="D3" s="1944"/>
      <c r="E3" s="1944" t="s">
        <v>515</v>
      </c>
      <c r="F3" s="1944"/>
      <c r="G3" s="1944" t="s">
        <v>516</v>
      </c>
      <c r="H3" s="1945"/>
      <c r="I3" s="1943" t="s">
        <v>514</v>
      </c>
      <c r="J3" s="1944"/>
      <c r="K3" s="1944" t="s">
        <v>515</v>
      </c>
      <c r="L3" s="1944"/>
      <c r="M3" s="1944" t="s">
        <v>516</v>
      </c>
      <c r="N3" s="1945"/>
      <c r="O3" s="1943" t="s">
        <v>514</v>
      </c>
      <c r="P3" s="1944"/>
      <c r="Q3" s="1944" t="s">
        <v>515</v>
      </c>
      <c r="R3" s="1944"/>
      <c r="S3" s="1944" t="s">
        <v>516</v>
      </c>
      <c r="T3" s="1945"/>
    </row>
    <row r="4" spans="1:20" s="1031" customFormat="1" ht="19.5" customHeight="1">
      <c r="A4" s="1928"/>
      <c r="B4" s="1946"/>
      <c r="C4" s="1437" t="s">
        <v>517</v>
      </c>
      <c r="D4" s="1438" t="s">
        <v>518</v>
      </c>
      <c r="E4" s="1438" t="s">
        <v>517</v>
      </c>
      <c r="F4" s="1438" t="s">
        <v>518</v>
      </c>
      <c r="G4" s="1438" t="s">
        <v>517</v>
      </c>
      <c r="H4" s="1439" t="s">
        <v>518</v>
      </c>
      <c r="I4" s="1437" t="s">
        <v>517</v>
      </c>
      <c r="J4" s="1438" t="s">
        <v>518</v>
      </c>
      <c r="K4" s="1438" t="s">
        <v>517</v>
      </c>
      <c r="L4" s="1438" t="s">
        <v>518</v>
      </c>
      <c r="M4" s="1438" t="s">
        <v>517</v>
      </c>
      <c r="N4" s="1439" t="s">
        <v>518</v>
      </c>
      <c r="O4" s="1437" t="s">
        <v>517</v>
      </c>
      <c r="P4" s="1438" t="s">
        <v>518</v>
      </c>
      <c r="Q4" s="1438" t="s">
        <v>517</v>
      </c>
      <c r="R4" s="1438" t="s">
        <v>518</v>
      </c>
      <c r="S4" s="1438" t="s">
        <v>517</v>
      </c>
      <c r="T4" s="1439" t="s">
        <v>518</v>
      </c>
    </row>
    <row r="5" spans="1:20" s="1031" customFormat="1" ht="19.5" customHeight="1" thickBot="1">
      <c r="A5" s="1928"/>
      <c r="B5" s="1947"/>
      <c r="C5" s="1440" t="s">
        <v>519</v>
      </c>
      <c r="D5" s="1441" t="s">
        <v>519</v>
      </c>
      <c r="E5" s="1441" t="s">
        <v>519</v>
      </c>
      <c r="F5" s="1441" t="s">
        <v>519</v>
      </c>
      <c r="G5" s="1441" t="s">
        <v>520</v>
      </c>
      <c r="H5" s="1442" t="s">
        <v>520</v>
      </c>
      <c r="I5" s="1440" t="s">
        <v>519</v>
      </c>
      <c r="J5" s="1441" t="s">
        <v>519</v>
      </c>
      <c r="K5" s="1441" t="s">
        <v>519</v>
      </c>
      <c r="L5" s="1441" t="s">
        <v>519</v>
      </c>
      <c r="M5" s="1441" t="s">
        <v>520</v>
      </c>
      <c r="N5" s="1442" t="s">
        <v>520</v>
      </c>
      <c r="O5" s="1440" t="s">
        <v>519</v>
      </c>
      <c r="P5" s="1441" t="s">
        <v>519</v>
      </c>
      <c r="Q5" s="1441" t="s">
        <v>519</v>
      </c>
      <c r="R5" s="1441" t="s">
        <v>519</v>
      </c>
      <c r="S5" s="1441" t="s">
        <v>520</v>
      </c>
      <c r="T5" s="1442" t="s">
        <v>520</v>
      </c>
    </row>
    <row r="6" spans="1:20" s="1031" customFormat="1" ht="18.75" customHeight="1" thickBot="1">
      <c r="A6" s="1443" t="s">
        <v>12</v>
      </c>
      <c r="B6" s="1444" t="s">
        <v>1057</v>
      </c>
      <c r="C6" s="1445">
        <v>101</v>
      </c>
      <c r="D6" s="1446">
        <v>100</v>
      </c>
      <c r="E6" s="1446">
        <v>101</v>
      </c>
      <c r="F6" s="1446">
        <v>100</v>
      </c>
      <c r="G6" s="1446">
        <v>2.07</v>
      </c>
      <c r="H6" s="1447">
        <v>1.47</v>
      </c>
      <c r="I6" s="1445">
        <v>200</v>
      </c>
      <c r="J6" s="1446">
        <v>202</v>
      </c>
      <c r="K6" s="1446">
        <v>200</v>
      </c>
      <c r="L6" s="1446">
        <v>202</v>
      </c>
      <c r="M6" s="1446">
        <v>1.11</v>
      </c>
      <c r="N6" s="1447">
        <v>3.47</v>
      </c>
      <c r="O6" s="1445">
        <v>200</v>
      </c>
      <c r="P6" s="1446">
        <v>200</v>
      </c>
      <c r="Q6" s="1446">
        <v>200</v>
      </c>
      <c r="R6" s="1446">
        <v>200</v>
      </c>
      <c r="S6" s="1448">
        <v>0.83</v>
      </c>
      <c r="T6" s="1447">
        <v>0.41</v>
      </c>
    </row>
    <row r="7" spans="1:20" s="1031" customFormat="1" ht="18.75" customHeight="1" thickBot="1">
      <c r="A7" s="1443" t="s">
        <v>13</v>
      </c>
      <c r="B7" s="1444" t="s">
        <v>1058</v>
      </c>
      <c r="C7" s="1445">
        <v>103</v>
      </c>
      <c r="D7" s="1446">
        <v>102</v>
      </c>
      <c r="E7" s="1446">
        <v>102</v>
      </c>
      <c r="F7" s="1446">
        <v>105</v>
      </c>
      <c r="G7" s="1446">
        <v>1.55</v>
      </c>
      <c r="H7" s="1447">
        <v>2.22</v>
      </c>
      <c r="I7" s="1445">
        <v>200</v>
      </c>
      <c r="J7" s="1446">
        <v>154</v>
      </c>
      <c r="K7" s="1446">
        <v>200</v>
      </c>
      <c r="L7" s="1446">
        <v>154</v>
      </c>
      <c r="M7" s="1446">
        <v>1.5</v>
      </c>
      <c r="N7" s="1447">
        <v>3.51</v>
      </c>
      <c r="O7" s="1445">
        <v>202</v>
      </c>
      <c r="P7" s="1446">
        <v>200</v>
      </c>
      <c r="Q7" s="1446">
        <v>202</v>
      </c>
      <c r="R7" s="1446">
        <v>199</v>
      </c>
      <c r="S7" s="1446">
        <v>1.53</v>
      </c>
      <c r="T7" s="1447">
        <v>0.65</v>
      </c>
    </row>
    <row r="8" spans="1:20" s="1031" customFormat="1" ht="18.75" customHeight="1">
      <c r="A8" s="1909" t="s">
        <v>14</v>
      </c>
      <c r="B8" s="1449" t="s">
        <v>1059</v>
      </c>
      <c r="C8" s="1912">
        <v>103</v>
      </c>
      <c r="D8" s="1915">
        <v>102</v>
      </c>
      <c r="E8" s="1915">
        <v>103</v>
      </c>
      <c r="F8" s="1915">
        <v>102</v>
      </c>
      <c r="G8" s="1915">
        <v>0.91</v>
      </c>
      <c r="H8" s="1921">
        <v>3.98</v>
      </c>
      <c r="I8" s="1450">
        <v>100</v>
      </c>
      <c r="J8" s="1451">
        <v>102</v>
      </c>
      <c r="K8" s="1451">
        <v>100</v>
      </c>
      <c r="L8" s="1451">
        <v>102</v>
      </c>
      <c r="M8" s="1451">
        <v>2.55</v>
      </c>
      <c r="N8" s="1452">
        <v>1.51</v>
      </c>
      <c r="O8" s="1951">
        <v>200</v>
      </c>
      <c r="P8" s="1915">
        <v>200</v>
      </c>
      <c r="Q8" s="1915">
        <v>200</v>
      </c>
      <c r="R8" s="1915">
        <v>200</v>
      </c>
      <c r="S8" s="1915">
        <v>0.31</v>
      </c>
      <c r="T8" s="1918">
        <v>1.11</v>
      </c>
    </row>
    <row r="9" spans="1:20" s="1031" customFormat="1" ht="18.75" customHeight="1">
      <c r="A9" s="1910"/>
      <c r="B9" s="1453" t="s">
        <v>1060</v>
      </c>
      <c r="C9" s="1913"/>
      <c r="D9" s="1916"/>
      <c r="E9" s="1916"/>
      <c r="F9" s="1916"/>
      <c r="G9" s="1916"/>
      <c r="H9" s="1922"/>
      <c r="I9" s="1437">
        <v>102</v>
      </c>
      <c r="J9" s="1438">
        <v>107</v>
      </c>
      <c r="K9" s="1438">
        <v>102</v>
      </c>
      <c r="L9" s="1438">
        <v>107</v>
      </c>
      <c r="M9" s="1438">
        <v>0.84</v>
      </c>
      <c r="N9" s="1439">
        <v>0.79</v>
      </c>
      <c r="O9" s="1952"/>
      <c r="P9" s="1916"/>
      <c r="Q9" s="1916"/>
      <c r="R9" s="1916"/>
      <c r="S9" s="1916"/>
      <c r="T9" s="1919"/>
    </row>
    <row r="10" spans="1:21" s="1031" customFormat="1" ht="18.75" customHeight="1" thickBot="1">
      <c r="A10" s="1911"/>
      <c r="B10" s="1454" t="s">
        <v>1061</v>
      </c>
      <c r="C10" s="1914"/>
      <c r="D10" s="1917"/>
      <c r="E10" s="1917"/>
      <c r="F10" s="1917"/>
      <c r="G10" s="1917"/>
      <c r="H10" s="1923"/>
      <c r="I10" s="1455">
        <v>2</v>
      </c>
      <c r="J10" s="1456">
        <v>4</v>
      </c>
      <c r="K10" s="1456">
        <v>0</v>
      </c>
      <c r="L10" s="1456">
        <v>2</v>
      </c>
      <c r="M10" s="1456">
        <v>0.84</v>
      </c>
      <c r="N10" s="1457">
        <v>0.79</v>
      </c>
      <c r="O10" s="1952"/>
      <c r="P10" s="1916"/>
      <c r="Q10" s="1916"/>
      <c r="R10" s="1916"/>
      <c r="S10" s="1916"/>
      <c r="T10" s="1919"/>
      <c r="U10" s="1033"/>
    </row>
    <row r="11" spans="1:21" s="1031" customFormat="1" ht="18.75" customHeight="1">
      <c r="A11" s="1909" t="s">
        <v>15</v>
      </c>
      <c r="B11" s="1449" t="s">
        <v>1062</v>
      </c>
      <c r="C11" s="1912">
        <v>101</v>
      </c>
      <c r="D11" s="1915">
        <v>100</v>
      </c>
      <c r="E11" s="1915">
        <v>101</v>
      </c>
      <c r="F11" s="1915">
        <v>100</v>
      </c>
      <c r="G11" s="1915">
        <v>2.25</v>
      </c>
      <c r="H11" s="1921">
        <v>3.33</v>
      </c>
      <c r="I11" s="1927">
        <v>100</v>
      </c>
      <c r="J11" s="1938">
        <v>5</v>
      </c>
      <c r="K11" s="1938">
        <v>99</v>
      </c>
      <c r="L11" s="1938">
        <v>5</v>
      </c>
      <c r="M11" s="1938">
        <v>2.71</v>
      </c>
      <c r="N11" s="1939">
        <v>9.69</v>
      </c>
      <c r="O11" s="1458">
        <v>200</v>
      </c>
      <c r="P11" s="1459">
        <v>200</v>
      </c>
      <c r="Q11" s="1459">
        <v>200</v>
      </c>
      <c r="R11" s="1459">
        <v>200</v>
      </c>
      <c r="S11" s="1459">
        <v>0.71</v>
      </c>
      <c r="T11" s="1460">
        <v>1.11</v>
      </c>
      <c r="U11" s="1033"/>
    </row>
    <row r="12" spans="1:21" s="1031" customFormat="1" ht="18.75" customHeight="1">
      <c r="A12" s="1910"/>
      <c r="B12" s="1453" t="s">
        <v>1063</v>
      </c>
      <c r="C12" s="1913"/>
      <c r="D12" s="1916"/>
      <c r="E12" s="1916"/>
      <c r="F12" s="1916"/>
      <c r="G12" s="1916"/>
      <c r="H12" s="1922"/>
      <c r="I12" s="1928"/>
      <c r="J12" s="1936"/>
      <c r="K12" s="1936"/>
      <c r="L12" s="1936"/>
      <c r="M12" s="1936"/>
      <c r="N12" s="1940"/>
      <c r="O12" s="1437">
        <v>50</v>
      </c>
      <c r="P12" s="1438">
        <v>50</v>
      </c>
      <c r="Q12" s="1438">
        <v>49</v>
      </c>
      <c r="R12" s="1438">
        <v>48</v>
      </c>
      <c r="S12" s="1438">
        <v>0.71</v>
      </c>
      <c r="T12" s="1439">
        <v>1.11</v>
      </c>
      <c r="U12" s="1033"/>
    </row>
    <row r="13" spans="1:21" s="1031" customFormat="1" ht="18.75" customHeight="1">
      <c r="A13" s="1910"/>
      <c r="B13" s="1454" t="s">
        <v>1064</v>
      </c>
      <c r="C13" s="1913"/>
      <c r="D13" s="1916"/>
      <c r="E13" s="1916"/>
      <c r="F13" s="1916"/>
      <c r="G13" s="1916"/>
      <c r="H13" s="1922"/>
      <c r="I13" s="1928"/>
      <c r="J13" s="1936"/>
      <c r="K13" s="1936"/>
      <c r="L13" s="1936"/>
      <c r="M13" s="1936"/>
      <c r="N13" s="1940"/>
      <c r="O13" s="1928">
        <v>200</v>
      </c>
      <c r="P13" s="1936">
        <v>200</v>
      </c>
      <c r="Q13" s="1936">
        <v>200</v>
      </c>
      <c r="R13" s="1936">
        <v>200</v>
      </c>
      <c r="S13" s="1936">
        <v>0.71</v>
      </c>
      <c r="T13" s="1946">
        <v>1.11</v>
      </c>
      <c r="U13" s="1033"/>
    </row>
    <row r="14" spans="1:21" s="1031" customFormat="1" ht="18.75" customHeight="1" thickBot="1">
      <c r="A14" s="1911"/>
      <c r="B14" s="1461" t="s">
        <v>1065</v>
      </c>
      <c r="C14" s="1914"/>
      <c r="D14" s="1917"/>
      <c r="E14" s="1917"/>
      <c r="F14" s="1917"/>
      <c r="G14" s="1917"/>
      <c r="H14" s="1923"/>
      <c r="I14" s="1440">
        <v>200</v>
      </c>
      <c r="J14" s="1930"/>
      <c r="K14" s="1441">
        <v>200</v>
      </c>
      <c r="L14" s="1930"/>
      <c r="M14" s="1441">
        <v>2.71</v>
      </c>
      <c r="N14" s="1941"/>
      <c r="O14" s="1935"/>
      <c r="P14" s="1937"/>
      <c r="Q14" s="1937"/>
      <c r="R14" s="1937"/>
      <c r="S14" s="1937"/>
      <c r="T14" s="1953"/>
      <c r="U14" s="1033"/>
    </row>
    <row r="15" spans="1:21" s="1031" customFormat="1" ht="18.75" customHeight="1">
      <c r="A15" s="1909" t="s">
        <v>16</v>
      </c>
      <c r="B15" s="1462" t="s">
        <v>1066</v>
      </c>
      <c r="C15" s="1912">
        <v>101</v>
      </c>
      <c r="D15" s="1915">
        <v>100</v>
      </c>
      <c r="E15" s="1915">
        <v>101</v>
      </c>
      <c r="F15" s="1915">
        <v>100</v>
      </c>
      <c r="G15" s="1915">
        <v>1.29</v>
      </c>
      <c r="H15" s="1921">
        <v>3.55</v>
      </c>
      <c r="I15" s="1458">
        <v>200</v>
      </c>
      <c r="J15" s="1915">
        <v>0</v>
      </c>
      <c r="K15" s="1459">
        <v>193</v>
      </c>
      <c r="L15" s="1915">
        <v>0</v>
      </c>
      <c r="M15" s="1463">
        <v>4</v>
      </c>
      <c r="N15" s="1918">
        <v>0</v>
      </c>
      <c r="O15" s="1912">
        <v>200</v>
      </c>
      <c r="P15" s="1915">
        <v>200</v>
      </c>
      <c r="Q15" s="1915">
        <v>200</v>
      </c>
      <c r="R15" s="1915">
        <v>200</v>
      </c>
      <c r="S15" s="1915">
        <v>0.26</v>
      </c>
      <c r="T15" s="1918">
        <v>0.95</v>
      </c>
      <c r="U15" s="1033"/>
    </row>
    <row r="16" spans="1:20" s="1031" customFormat="1" ht="14.25" customHeight="1">
      <c r="A16" s="1933"/>
      <c r="B16" s="1453" t="s">
        <v>1067</v>
      </c>
      <c r="C16" s="1913"/>
      <c r="D16" s="1916"/>
      <c r="E16" s="1916"/>
      <c r="F16" s="1916"/>
      <c r="G16" s="1916"/>
      <c r="H16" s="1922"/>
      <c r="I16" s="1437">
        <v>0</v>
      </c>
      <c r="J16" s="1916"/>
      <c r="K16" s="1438">
        <v>0</v>
      </c>
      <c r="L16" s="1916"/>
      <c r="M16" s="1464">
        <v>4</v>
      </c>
      <c r="N16" s="1919"/>
      <c r="O16" s="1913"/>
      <c r="P16" s="1916"/>
      <c r="Q16" s="1916"/>
      <c r="R16" s="1916"/>
      <c r="S16" s="1916"/>
      <c r="T16" s="1919"/>
    </row>
    <row r="17" spans="1:20" s="1031" customFormat="1" ht="14.25" customHeight="1">
      <c r="A17" s="1933"/>
      <c r="B17" s="1453" t="s">
        <v>1068</v>
      </c>
      <c r="C17" s="1913"/>
      <c r="D17" s="1916"/>
      <c r="E17" s="1916"/>
      <c r="F17" s="1916"/>
      <c r="G17" s="1916"/>
      <c r="H17" s="1922"/>
      <c r="I17" s="1437">
        <v>200</v>
      </c>
      <c r="J17" s="1916"/>
      <c r="K17" s="1438">
        <v>193</v>
      </c>
      <c r="L17" s="1916"/>
      <c r="M17" s="1464">
        <v>4</v>
      </c>
      <c r="N17" s="1919"/>
      <c r="O17" s="1913"/>
      <c r="P17" s="1916"/>
      <c r="Q17" s="1916"/>
      <c r="R17" s="1916"/>
      <c r="S17" s="1916"/>
      <c r="T17" s="1919"/>
    </row>
    <row r="18" spans="1:20" s="1031" customFormat="1" ht="15" customHeight="1">
      <c r="A18" s="1933"/>
      <c r="B18" s="1453" t="s">
        <v>1069</v>
      </c>
      <c r="C18" s="1913"/>
      <c r="D18" s="1916"/>
      <c r="E18" s="1916"/>
      <c r="F18" s="1916"/>
      <c r="G18" s="1916"/>
      <c r="H18" s="1922"/>
      <c r="I18" s="1437">
        <v>300</v>
      </c>
      <c r="J18" s="1916"/>
      <c r="K18" s="1438">
        <v>300</v>
      </c>
      <c r="L18" s="1916"/>
      <c r="M18" s="1464">
        <v>4</v>
      </c>
      <c r="N18" s="1919"/>
      <c r="O18" s="1913"/>
      <c r="P18" s="1916"/>
      <c r="Q18" s="1916"/>
      <c r="R18" s="1916"/>
      <c r="S18" s="1916"/>
      <c r="T18" s="1919"/>
    </row>
    <row r="19" spans="1:20" s="1031" customFormat="1" ht="12" customHeight="1" thickBot="1">
      <c r="A19" s="1934"/>
      <c r="B19" s="1465" t="s">
        <v>1070</v>
      </c>
      <c r="C19" s="1914"/>
      <c r="D19" s="1917"/>
      <c r="E19" s="1917"/>
      <c r="F19" s="1917"/>
      <c r="G19" s="1917"/>
      <c r="H19" s="1923"/>
      <c r="I19" s="1466">
        <v>200</v>
      </c>
      <c r="J19" s="1917"/>
      <c r="K19" s="1467">
        <v>193</v>
      </c>
      <c r="L19" s="1917"/>
      <c r="M19" s="1468">
        <v>4</v>
      </c>
      <c r="N19" s="1920"/>
      <c r="O19" s="1914"/>
      <c r="P19" s="1917"/>
      <c r="Q19" s="1917"/>
      <c r="R19" s="1917"/>
      <c r="S19" s="1917"/>
      <c r="T19" s="1920"/>
    </row>
    <row r="20" spans="1:20" s="1031" customFormat="1" ht="10.5" thickBot="1">
      <c r="A20" s="1443" t="s">
        <v>17</v>
      </c>
      <c r="B20" s="1445" t="s">
        <v>1071</v>
      </c>
      <c r="C20" s="1445">
        <v>101</v>
      </c>
      <c r="D20" s="1446">
        <v>100</v>
      </c>
      <c r="E20" s="1446">
        <v>101</v>
      </c>
      <c r="F20" s="1446">
        <v>100</v>
      </c>
      <c r="G20" s="1446">
        <v>0.89</v>
      </c>
      <c r="H20" s="1447">
        <v>3.69</v>
      </c>
      <c r="I20" s="1469">
        <v>200</v>
      </c>
      <c r="J20" s="1470">
        <v>5</v>
      </c>
      <c r="K20" s="1470">
        <v>200</v>
      </c>
      <c r="L20" s="1470">
        <v>5</v>
      </c>
      <c r="M20" s="1471">
        <v>4.2</v>
      </c>
      <c r="N20" s="1472">
        <v>3.99</v>
      </c>
      <c r="O20" s="1445">
        <v>202</v>
      </c>
      <c r="P20" s="1446">
        <v>200</v>
      </c>
      <c r="Q20" s="1446">
        <v>202</v>
      </c>
      <c r="R20" s="1446">
        <v>200</v>
      </c>
      <c r="S20" s="1446">
        <v>0.61</v>
      </c>
      <c r="T20" s="1447">
        <v>1.35</v>
      </c>
    </row>
    <row r="21" spans="1:20" s="1031" customFormat="1" ht="10.5" thickBot="1">
      <c r="A21" s="1443" t="s">
        <v>18</v>
      </c>
      <c r="B21" s="1444" t="s">
        <v>1202</v>
      </c>
      <c r="C21" s="1445">
        <v>101</v>
      </c>
      <c r="D21" s="1446">
        <v>100</v>
      </c>
      <c r="E21" s="1446">
        <v>100</v>
      </c>
      <c r="F21" s="1446">
        <v>100</v>
      </c>
      <c r="G21" s="1446">
        <v>0.55</v>
      </c>
      <c r="H21" s="1447">
        <v>3.89</v>
      </c>
      <c r="I21" s="1445">
        <v>200</v>
      </c>
      <c r="J21" s="1446">
        <v>202</v>
      </c>
      <c r="K21" s="1446">
        <v>200</v>
      </c>
      <c r="L21" s="1446">
        <v>202</v>
      </c>
      <c r="M21" s="1446">
        <v>2.79</v>
      </c>
      <c r="N21" s="1447">
        <v>2.99</v>
      </c>
      <c r="O21" s="1445">
        <v>200</v>
      </c>
      <c r="P21" s="1446">
        <v>200</v>
      </c>
      <c r="Q21" s="1446">
        <v>200</v>
      </c>
      <c r="R21" s="1446">
        <v>199</v>
      </c>
      <c r="S21" s="1446">
        <v>0.23</v>
      </c>
      <c r="T21" s="1447">
        <v>3</v>
      </c>
    </row>
    <row r="22" spans="1:20" s="1031" customFormat="1" ht="9.75">
      <c r="A22" s="1909" t="s">
        <v>19</v>
      </c>
      <c r="B22" s="1462" t="s">
        <v>1203</v>
      </c>
      <c r="C22" s="1912">
        <v>101</v>
      </c>
      <c r="D22" s="1915">
        <v>100</v>
      </c>
      <c r="E22" s="1915">
        <v>101</v>
      </c>
      <c r="F22" s="1915">
        <v>100</v>
      </c>
      <c r="G22" s="1915">
        <v>1.4</v>
      </c>
      <c r="H22" s="1921">
        <v>3.56</v>
      </c>
      <c r="I22" s="1458">
        <v>200</v>
      </c>
      <c r="J22" s="1915">
        <v>157</v>
      </c>
      <c r="K22" s="1459">
        <v>200</v>
      </c>
      <c r="L22" s="1915">
        <v>157</v>
      </c>
      <c r="M22" s="1459">
        <v>2.83</v>
      </c>
      <c r="N22" s="1918">
        <v>5.23</v>
      </c>
      <c r="O22" s="1912">
        <v>200</v>
      </c>
      <c r="P22" s="1915">
        <v>200</v>
      </c>
      <c r="Q22" s="1915">
        <v>200</v>
      </c>
      <c r="R22" s="1915">
        <v>200</v>
      </c>
      <c r="S22" s="1915">
        <v>0.22</v>
      </c>
      <c r="T22" s="1918">
        <v>1.97</v>
      </c>
    </row>
    <row r="23" spans="1:20" s="1031" customFormat="1" ht="9.75">
      <c r="A23" s="1910"/>
      <c r="B23" s="1453" t="s">
        <v>1204</v>
      </c>
      <c r="C23" s="1913"/>
      <c r="D23" s="1916"/>
      <c r="E23" s="1916"/>
      <c r="F23" s="1916"/>
      <c r="G23" s="1916"/>
      <c r="H23" s="1922"/>
      <c r="I23" s="1440">
        <v>50</v>
      </c>
      <c r="J23" s="1916"/>
      <c r="K23" s="1441">
        <v>46</v>
      </c>
      <c r="L23" s="1916"/>
      <c r="M23" s="1441">
        <v>2.83</v>
      </c>
      <c r="N23" s="1919"/>
      <c r="O23" s="1913"/>
      <c r="P23" s="1916"/>
      <c r="Q23" s="1916"/>
      <c r="R23" s="1916"/>
      <c r="S23" s="1916"/>
      <c r="T23" s="1919"/>
    </row>
    <row r="24" spans="1:20" s="1031" customFormat="1" ht="9.75">
      <c r="A24" s="1910"/>
      <c r="B24" s="1473" t="s">
        <v>1205</v>
      </c>
      <c r="C24" s="1913"/>
      <c r="D24" s="1916"/>
      <c r="E24" s="1916"/>
      <c r="F24" s="1916"/>
      <c r="G24" s="1916"/>
      <c r="H24" s="1922"/>
      <c r="I24" s="1955">
        <v>200</v>
      </c>
      <c r="J24" s="1916"/>
      <c r="K24" s="1930">
        <v>200</v>
      </c>
      <c r="L24" s="1916"/>
      <c r="M24" s="1930">
        <v>2.83</v>
      </c>
      <c r="N24" s="1919"/>
      <c r="O24" s="1931"/>
      <c r="P24" s="1929"/>
      <c r="Q24" s="1929"/>
      <c r="R24" s="1929"/>
      <c r="S24" s="1929"/>
      <c r="T24" s="1954"/>
    </row>
    <row r="25" spans="1:20" s="1031" customFormat="1" ht="9.75">
      <c r="A25" s="1910"/>
      <c r="B25" s="1453" t="s">
        <v>1206</v>
      </c>
      <c r="C25" s="1913"/>
      <c r="D25" s="1916"/>
      <c r="E25" s="1916"/>
      <c r="F25" s="1916"/>
      <c r="G25" s="1916"/>
      <c r="H25" s="1922"/>
      <c r="I25" s="1913"/>
      <c r="J25" s="1916"/>
      <c r="K25" s="1916"/>
      <c r="L25" s="1916"/>
      <c r="M25" s="1916"/>
      <c r="N25" s="1919"/>
      <c r="O25" s="1455">
        <v>50</v>
      </c>
      <c r="P25" s="1438">
        <v>50</v>
      </c>
      <c r="Q25" s="1438">
        <v>48</v>
      </c>
      <c r="R25" s="1438">
        <v>48</v>
      </c>
      <c r="S25" s="1438">
        <v>0.22</v>
      </c>
      <c r="T25" s="1439">
        <v>1.97</v>
      </c>
    </row>
    <row r="26" spans="1:20" s="1031" customFormat="1" ht="10.5" thickBot="1">
      <c r="A26" s="1911"/>
      <c r="B26" s="1473" t="s">
        <v>1207</v>
      </c>
      <c r="C26" s="1914"/>
      <c r="D26" s="1917"/>
      <c r="E26" s="1917"/>
      <c r="F26" s="1917"/>
      <c r="G26" s="1917"/>
      <c r="H26" s="1920"/>
      <c r="I26" s="1914"/>
      <c r="J26" s="1917"/>
      <c r="K26" s="1917"/>
      <c r="L26" s="1917"/>
      <c r="M26" s="1917"/>
      <c r="N26" s="1920"/>
      <c r="O26" s="1466">
        <v>200</v>
      </c>
      <c r="P26" s="1456">
        <v>200</v>
      </c>
      <c r="Q26" s="1456">
        <v>200</v>
      </c>
      <c r="R26" s="1456">
        <v>200</v>
      </c>
      <c r="S26" s="1456">
        <v>0.22</v>
      </c>
      <c r="T26" s="1457">
        <v>1.97</v>
      </c>
    </row>
    <row r="27" spans="1:20" s="1031" customFormat="1" ht="10.5" thickBot="1">
      <c r="A27" s="1453" t="s">
        <v>20</v>
      </c>
      <c r="B27" s="1474" t="s">
        <v>1308</v>
      </c>
      <c r="C27" s="1445">
        <v>101</v>
      </c>
      <c r="D27" s="1451">
        <v>100</v>
      </c>
      <c r="E27" s="1451">
        <v>101</v>
      </c>
      <c r="F27" s="1451">
        <v>100</v>
      </c>
      <c r="G27" s="1451">
        <v>1.55</v>
      </c>
      <c r="H27" s="1452">
        <v>1.65</v>
      </c>
      <c r="I27" s="1445">
        <v>200</v>
      </c>
      <c r="J27" s="1451">
        <v>202</v>
      </c>
      <c r="K27" s="1446">
        <v>200</v>
      </c>
      <c r="L27" s="1446">
        <v>202</v>
      </c>
      <c r="M27" s="1446">
        <v>1.32</v>
      </c>
      <c r="N27" s="1447">
        <v>12.31</v>
      </c>
      <c r="O27" s="1445">
        <v>200</v>
      </c>
      <c r="P27" s="1446">
        <v>200</v>
      </c>
      <c r="Q27" s="1446">
        <v>200</v>
      </c>
      <c r="R27" s="1446">
        <v>200</v>
      </c>
      <c r="S27" s="1446">
        <v>0.28</v>
      </c>
      <c r="T27" s="1447">
        <v>2.55</v>
      </c>
    </row>
    <row r="28" spans="1:20" s="1031" customFormat="1" ht="11.25" customHeight="1">
      <c r="A28" s="1909" t="s">
        <v>21</v>
      </c>
      <c r="B28" s="1462" t="s">
        <v>1328</v>
      </c>
      <c r="C28" s="1912">
        <v>101</v>
      </c>
      <c r="D28" s="1915">
        <v>100</v>
      </c>
      <c r="E28" s="1915">
        <v>101</v>
      </c>
      <c r="F28" s="1915">
        <v>99</v>
      </c>
      <c r="G28" s="1915">
        <v>3.13</v>
      </c>
      <c r="H28" s="1921">
        <v>2.55</v>
      </c>
      <c r="I28" s="1458">
        <v>200</v>
      </c>
      <c r="J28" s="1475">
        <v>202</v>
      </c>
      <c r="K28" s="1459">
        <v>200</v>
      </c>
      <c r="L28" s="1475">
        <v>202</v>
      </c>
      <c r="M28" s="1924">
        <v>3.21</v>
      </c>
      <c r="N28" s="1918">
        <v>5.51</v>
      </c>
      <c r="O28" s="1912">
        <v>200</v>
      </c>
      <c r="P28" s="1915">
        <v>200</v>
      </c>
      <c r="Q28" s="1915">
        <v>200</v>
      </c>
      <c r="R28" s="1915">
        <v>200</v>
      </c>
      <c r="S28" s="1915">
        <v>0.81</v>
      </c>
      <c r="T28" s="1918">
        <v>1.35</v>
      </c>
    </row>
    <row r="29" spans="1:20" s="1031" customFormat="1" ht="15.75" customHeight="1">
      <c r="A29" s="1910"/>
      <c r="B29" s="1453" t="s">
        <v>1329</v>
      </c>
      <c r="C29" s="1913"/>
      <c r="D29" s="1916"/>
      <c r="E29" s="1916"/>
      <c r="F29" s="1916"/>
      <c r="G29" s="1916"/>
      <c r="H29" s="1922"/>
      <c r="I29" s="1437">
        <v>100</v>
      </c>
      <c r="J29" s="1476">
        <v>102</v>
      </c>
      <c r="K29" s="1438">
        <v>96</v>
      </c>
      <c r="L29" s="1476">
        <v>98</v>
      </c>
      <c r="M29" s="1925"/>
      <c r="N29" s="1919"/>
      <c r="O29" s="1913"/>
      <c r="P29" s="1916"/>
      <c r="Q29" s="1916"/>
      <c r="R29" s="1916"/>
      <c r="S29" s="1916"/>
      <c r="T29" s="1919"/>
    </row>
    <row r="30" spans="1:20" s="1031" customFormat="1" ht="15.75" customHeight="1">
      <c r="A30" s="1910"/>
      <c r="B30" s="1453" t="s">
        <v>1330</v>
      </c>
      <c r="C30" s="1913"/>
      <c r="D30" s="1916"/>
      <c r="E30" s="1916"/>
      <c r="F30" s="1916"/>
      <c r="G30" s="1916"/>
      <c r="H30" s="1922"/>
      <c r="I30" s="1437">
        <v>200</v>
      </c>
      <c r="J30" s="1476">
        <v>202</v>
      </c>
      <c r="K30" s="1438">
        <v>200</v>
      </c>
      <c r="L30" s="1476">
        <v>202</v>
      </c>
      <c r="M30" s="1925"/>
      <c r="N30" s="1919"/>
      <c r="O30" s="1913"/>
      <c r="P30" s="1916"/>
      <c r="Q30" s="1916"/>
      <c r="R30" s="1916"/>
      <c r="S30" s="1916"/>
      <c r="T30" s="1919"/>
    </row>
    <row r="31" spans="1:20" s="1031" customFormat="1" ht="15" customHeight="1">
      <c r="A31" s="1910"/>
      <c r="B31" s="1453" t="s">
        <v>1331</v>
      </c>
      <c r="C31" s="1913"/>
      <c r="D31" s="1916"/>
      <c r="E31" s="1916"/>
      <c r="F31" s="1916"/>
      <c r="G31" s="1916"/>
      <c r="H31" s="1922"/>
      <c r="I31" s="1437">
        <v>100</v>
      </c>
      <c r="J31" s="1476">
        <v>102</v>
      </c>
      <c r="K31" s="1438">
        <v>96</v>
      </c>
      <c r="L31" s="1476">
        <v>98</v>
      </c>
      <c r="M31" s="1925"/>
      <c r="N31" s="1919"/>
      <c r="O31" s="1913"/>
      <c r="P31" s="1916"/>
      <c r="Q31" s="1916"/>
      <c r="R31" s="1916"/>
      <c r="S31" s="1916"/>
      <c r="T31" s="1919"/>
    </row>
    <row r="32" spans="1:20" s="1031" customFormat="1" ht="15" customHeight="1" thickBot="1">
      <c r="A32" s="1911"/>
      <c r="B32" s="1465" t="s">
        <v>1332</v>
      </c>
      <c r="C32" s="1914"/>
      <c r="D32" s="1917"/>
      <c r="E32" s="1917"/>
      <c r="F32" s="1917"/>
      <c r="G32" s="1917"/>
      <c r="H32" s="1923"/>
      <c r="I32" s="1466">
        <v>200</v>
      </c>
      <c r="J32" s="1477">
        <v>202</v>
      </c>
      <c r="K32" s="1467">
        <v>200</v>
      </c>
      <c r="L32" s="1477">
        <v>202</v>
      </c>
      <c r="M32" s="1926"/>
      <c r="N32" s="1920"/>
      <c r="O32" s="1914"/>
      <c r="P32" s="1917"/>
      <c r="Q32" s="1917"/>
      <c r="R32" s="1917"/>
      <c r="S32" s="1917"/>
      <c r="T32" s="1920"/>
    </row>
    <row r="33" spans="1:20" ht="15" thickBot="1">
      <c r="A33" s="1948" t="s">
        <v>1353</v>
      </c>
      <c r="B33" s="1449" t="s">
        <v>1357</v>
      </c>
      <c r="C33" s="1912">
        <v>101</v>
      </c>
      <c r="D33" s="1915">
        <v>100</v>
      </c>
      <c r="E33" s="1915">
        <v>100</v>
      </c>
      <c r="F33" s="1915">
        <v>100</v>
      </c>
      <c r="G33" s="1915">
        <v>2.88</v>
      </c>
      <c r="H33" s="1918">
        <v>4.44</v>
      </c>
      <c r="I33" s="1450">
        <v>200</v>
      </c>
      <c r="J33" s="1915">
        <v>152</v>
      </c>
      <c r="K33" s="1451">
        <v>200</v>
      </c>
      <c r="L33" s="1915">
        <v>152</v>
      </c>
      <c r="M33" s="1451">
        <v>4</v>
      </c>
      <c r="N33" s="1918">
        <v>6.22</v>
      </c>
      <c r="O33" s="1912">
        <v>200</v>
      </c>
      <c r="P33" s="1915">
        <v>200</v>
      </c>
      <c r="Q33" s="1915">
        <v>200</v>
      </c>
      <c r="R33" s="1915">
        <v>200</v>
      </c>
      <c r="S33" s="1915">
        <v>0.88</v>
      </c>
      <c r="T33" s="1918">
        <v>1.98</v>
      </c>
    </row>
    <row r="34" spans="1:20" ht="15" thickBot="1">
      <c r="A34" s="1949"/>
      <c r="B34" s="1462" t="s">
        <v>1358</v>
      </c>
      <c r="C34" s="1913"/>
      <c r="D34" s="1916"/>
      <c r="E34" s="1916"/>
      <c r="F34" s="1916"/>
      <c r="G34" s="1916"/>
      <c r="H34" s="1919"/>
      <c r="I34" s="1440">
        <v>100</v>
      </c>
      <c r="J34" s="1916"/>
      <c r="K34" s="1438">
        <v>95</v>
      </c>
      <c r="L34" s="1916"/>
      <c r="M34" s="1438">
        <v>4</v>
      </c>
      <c r="N34" s="1919"/>
      <c r="O34" s="1913"/>
      <c r="P34" s="1916"/>
      <c r="Q34" s="1916"/>
      <c r="R34" s="1916"/>
      <c r="S34" s="1916"/>
      <c r="T34" s="1919"/>
    </row>
    <row r="35" spans="1:20" ht="15" thickBot="1">
      <c r="A35" s="1950"/>
      <c r="B35" s="1444" t="s">
        <v>1359</v>
      </c>
      <c r="C35" s="1914"/>
      <c r="D35" s="1917"/>
      <c r="E35" s="1917"/>
      <c r="F35" s="1917"/>
      <c r="G35" s="1917"/>
      <c r="H35" s="1920"/>
      <c r="I35" s="1466">
        <v>200</v>
      </c>
      <c r="J35" s="1917"/>
      <c r="K35" s="1456">
        <v>200</v>
      </c>
      <c r="L35" s="1917"/>
      <c r="M35" s="1467">
        <v>4</v>
      </c>
      <c r="N35" s="1920"/>
      <c r="O35" s="1914"/>
      <c r="P35" s="1917"/>
      <c r="Q35" s="1917"/>
      <c r="R35" s="1917"/>
      <c r="S35" s="1917"/>
      <c r="T35" s="1920"/>
    </row>
    <row r="36" spans="1:20" ht="15" thickBot="1">
      <c r="A36" s="1461" t="s">
        <v>23</v>
      </c>
      <c r="B36" s="1478" t="s">
        <v>1360</v>
      </c>
      <c r="C36" s="1479">
        <v>101</v>
      </c>
      <c r="D36" s="1480">
        <v>100</v>
      </c>
      <c r="E36" s="1480">
        <v>101</v>
      </c>
      <c r="F36" s="1480">
        <v>100</v>
      </c>
      <c r="G36" s="1480">
        <v>3.33</v>
      </c>
      <c r="H36" s="1481">
        <v>6</v>
      </c>
      <c r="I36" s="1479">
        <v>200</v>
      </c>
      <c r="J36" s="1480">
        <v>152</v>
      </c>
      <c r="K36" s="1480">
        <v>200</v>
      </c>
      <c r="L36" s="1480">
        <v>152</v>
      </c>
      <c r="M36" s="1480">
        <v>3.78</v>
      </c>
      <c r="N36" s="1482">
        <v>4.22</v>
      </c>
      <c r="O36" s="1483">
        <v>200</v>
      </c>
      <c r="P36" s="1480">
        <v>200</v>
      </c>
      <c r="Q36" s="1480">
        <v>200</v>
      </c>
      <c r="R36" s="1480">
        <v>200</v>
      </c>
      <c r="S36" s="1480">
        <v>0.8</v>
      </c>
      <c r="T36" s="1482">
        <v>3.15</v>
      </c>
    </row>
    <row r="37" ht="15" thickBot="1"/>
    <row r="38" spans="16:17" ht="15" thickBot="1">
      <c r="P38" s="1907" t="s">
        <v>1055</v>
      </c>
      <c r="Q38" s="1908"/>
    </row>
    <row r="41" ht="14.25">
      <c r="G41" s="599"/>
    </row>
  </sheetData>
  <sheetProtection/>
  <mergeCells count="114">
    <mergeCell ref="T33:T35"/>
    <mergeCell ref="O33:O35"/>
    <mergeCell ref="P33:P35"/>
    <mergeCell ref="Q33:Q35"/>
    <mergeCell ref="R33:R35"/>
    <mergeCell ref="S33:S35"/>
    <mergeCell ref="G33:G35"/>
    <mergeCell ref="H33:H35"/>
    <mergeCell ref="J33:J35"/>
    <mergeCell ref="L33:L35"/>
    <mergeCell ref="N33:N35"/>
    <mergeCell ref="O8:O10"/>
    <mergeCell ref="P8:P10"/>
    <mergeCell ref="Q8:Q10"/>
    <mergeCell ref="T13:T14"/>
    <mergeCell ref="S13:S14"/>
    <mergeCell ref="R8:R10"/>
    <mergeCell ref="S8:S10"/>
    <mergeCell ref="T8:T10"/>
    <mergeCell ref="S22:S24"/>
    <mergeCell ref="T22:T24"/>
    <mergeCell ref="R15:R19"/>
    <mergeCell ref="R13:R14"/>
    <mergeCell ref="S15:S19"/>
    <mergeCell ref="T15:T19"/>
    <mergeCell ref="R22:R24"/>
    <mergeCell ref="A2:A5"/>
    <mergeCell ref="A8:A10"/>
    <mergeCell ref="C8:C10"/>
    <mergeCell ref="D8:D10"/>
    <mergeCell ref="E8:E10"/>
    <mergeCell ref="B2:B5"/>
    <mergeCell ref="C2:H2"/>
    <mergeCell ref="F8:F10"/>
    <mergeCell ref="G8:G10"/>
    <mergeCell ref="H8:H10"/>
    <mergeCell ref="I2:N2"/>
    <mergeCell ref="O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1:T1"/>
    <mergeCell ref="A15:A19"/>
    <mergeCell ref="C15:C19"/>
    <mergeCell ref="D15:D19"/>
    <mergeCell ref="E15:E19"/>
    <mergeCell ref="F15:F19"/>
    <mergeCell ref="G15:G19"/>
    <mergeCell ref="H15:H19"/>
    <mergeCell ref="J15:J19"/>
    <mergeCell ref="L15:L19"/>
    <mergeCell ref="C11:C14"/>
    <mergeCell ref="D11:D14"/>
    <mergeCell ref="E11:E14"/>
    <mergeCell ref="F11:F14"/>
    <mergeCell ref="O15:O19"/>
    <mergeCell ref="P15:P19"/>
    <mergeCell ref="Q15:Q19"/>
    <mergeCell ref="O13:O14"/>
    <mergeCell ref="P13:P14"/>
    <mergeCell ref="Q13:Q14"/>
    <mergeCell ref="M11:M13"/>
    <mergeCell ref="N11:N14"/>
    <mergeCell ref="N15:N19"/>
    <mergeCell ref="G11:G14"/>
    <mergeCell ref="A11:A14"/>
    <mergeCell ref="A22:A26"/>
    <mergeCell ref="C22:C26"/>
    <mergeCell ref="D22:D26"/>
    <mergeCell ref="E22:E26"/>
    <mergeCell ref="F22:F26"/>
    <mergeCell ref="G22:G26"/>
    <mergeCell ref="H22:H26"/>
    <mergeCell ref="J22:J26"/>
    <mergeCell ref="J11:J14"/>
    <mergeCell ref="I24:I26"/>
    <mergeCell ref="S28:S32"/>
    <mergeCell ref="T28:T32"/>
    <mergeCell ref="G28:G32"/>
    <mergeCell ref="H28:H32"/>
    <mergeCell ref="M28:M32"/>
    <mergeCell ref="N28:N32"/>
    <mergeCell ref="O28:O32"/>
    <mergeCell ref="H11:H14"/>
    <mergeCell ref="I11:I13"/>
    <mergeCell ref="Q22:Q24"/>
    <mergeCell ref="K24:K26"/>
    <mergeCell ref="M24:M26"/>
    <mergeCell ref="O22:O24"/>
    <mergeCell ref="P22:P24"/>
    <mergeCell ref="L22:L26"/>
    <mergeCell ref="N22:N26"/>
    <mergeCell ref="K11:K13"/>
    <mergeCell ref="L11:L14"/>
    <mergeCell ref="P38:Q38"/>
    <mergeCell ref="A28:A32"/>
    <mergeCell ref="C28:C32"/>
    <mergeCell ref="D28:D32"/>
    <mergeCell ref="E28:E32"/>
    <mergeCell ref="F28:F32"/>
    <mergeCell ref="P28:P32"/>
    <mergeCell ref="Q28:Q32"/>
    <mergeCell ref="R28:R32"/>
    <mergeCell ref="A33:A35"/>
    <mergeCell ref="C33:C35"/>
    <mergeCell ref="D33:D35"/>
    <mergeCell ref="E33:E35"/>
    <mergeCell ref="F33:F35"/>
  </mergeCells>
  <printOptions/>
  <pageMargins left="0.25" right="0.25" top="0.75" bottom="0.75" header="0.3" footer="0.3"/>
  <pageSetup fitToHeight="1" fitToWidth="1" orientation="landscape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view="pageBreakPreview" zoomScale="60" zoomScalePageLayoutView="0" workbookViewId="0" topLeftCell="A1">
      <selection activeCell="W33" sqref="W33:X33"/>
    </sheetView>
  </sheetViews>
  <sheetFormatPr defaultColWidth="21.140625" defaultRowHeight="15"/>
  <cols>
    <col min="1" max="1" width="37.421875" style="1252" bestFit="1" customWidth="1"/>
    <col min="2" max="2" width="9.421875" style="1214" bestFit="1" customWidth="1"/>
    <col min="3" max="3" width="10.57421875" style="1214" bestFit="1" customWidth="1"/>
    <col min="4" max="4" width="9.421875" style="1214" bestFit="1" customWidth="1"/>
    <col min="5" max="5" width="10.421875" style="1214" bestFit="1" customWidth="1"/>
    <col min="6" max="6" width="9.421875" style="1214" bestFit="1" customWidth="1"/>
    <col min="7" max="7" width="10.421875" style="1214" bestFit="1" customWidth="1"/>
    <col min="8" max="8" width="9.140625" style="1214" bestFit="1" customWidth="1"/>
    <col min="9" max="9" width="10.140625" style="1214" bestFit="1" customWidth="1"/>
    <col min="10" max="10" width="9.140625" style="1214" bestFit="1" customWidth="1"/>
    <col min="11" max="11" width="10.421875" style="1214" bestFit="1" customWidth="1"/>
    <col min="12" max="12" width="9.421875" style="1214" bestFit="1" customWidth="1"/>
    <col min="13" max="13" width="10.421875" style="1214" bestFit="1" customWidth="1"/>
    <col min="14" max="14" width="9.421875" style="1214" bestFit="1" customWidth="1"/>
    <col min="15" max="15" width="10.421875" style="1214" bestFit="1" customWidth="1"/>
    <col min="16" max="16" width="9.421875" style="1214" bestFit="1" customWidth="1"/>
    <col min="17" max="17" width="10.140625" style="1214" bestFit="1" customWidth="1"/>
    <col min="18" max="18" width="9.140625" style="1214" bestFit="1" customWidth="1"/>
    <col min="19" max="19" width="10.421875" style="1214" bestFit="1" customWidth="1"/>
    <col min="20" max="20" width="9.140625" style="1214" bestFit="1" customWidth="1"/>
    <col min="21" max="21" width="10.421875" style="1214" bestFit="1" customWidth="1"/>
    <col min="22" max="22" width="9.421875" style="1214" bestFit="1" customWidth="1"/>
    <col min="23" max="23" width="10.421875" style="1214" bestFit="1" customWidth="1"/>
    <col min="24" max="24" width="9.421875" style="1214" bestFit="1" customWidth="1"/>
    <col min="25" max="25" width="6.8515625" style="1214" bestFit="1" customWidth="1"/>
    <col min="26" max="26" width="11.00390625" style="1254" customWidth="1"/>
    <col min="27" max="27" width="12.7109375" style="1254" customWidth="1"/>
    <col min="28" max="16384" width="21.140625" style="1213" customWidth="1"/>
  </cols>
  <sheetData>
    <row r="1" spans="1:27" ht="18" thickBot="1">
      <c r="A1" s="1991" t="s">
        <v>1361</v>
      </c>
      <c r="B1" s="1992"/>
      <c r="C1" s="1992"/>
      <c r="D1" s="1992"/>
      <c r="E1" s="1992"/>
      <c r="F1" s="1992"/>
      <c r="G1" s="1992"/>
      <c r="H1" s="1992"/>
      <c r="I1" s="1992"/>
      <c r="J1" s="1992"/>
      <c r="K1" s="1992"/>
      <c r="L1" s="1992"/>
      <c r="M1" s="1992"/>
      <c r="N1" s="1992"/>
      <c r="O1" s="1992"/>
      <c r="P1" s="1992"/>
      <c r="Q1" s="1992"/>
      <c r="R1" s="1992"/>
      <c r="S1" s="1992"/>
      <c r="T1" s="1992"/>
      <c r="U1" s="1992"/>
      <c r="V1" s="1992"/>
      <c r="W1" s="1992"/>
      <c r="X1" s="1992"/>
      <c r="Y1" s="1992"/>
      <c r="Z1" s="1992"/>
      <c r="AA1" s="1993"/>
    </row>
    <row r="2" spans="1:27" s="1214" customFormat="1" ht="12" thickBot="1">
      <c r="A2" s="1976" t="s">
        <v>1017</v>
      </c>
      <c r="B2" s="1981" t="s">
        <v>87</v>
      </c>
      <c r="C2" s="1982"/>
      <c r="D2" s="1981" t="s">
        <v>88</v>
      </c>
      <c r="E2" s="1982"/>
      <c r="F2" s="1981" t="s">
        <v>89</v>
      </c>
      <c r="G2" s="1982"/>
      <c r="H2" s="1981" t="s">
        <v>90</v>
      </c>
      <c r="I2" s="1982"/>
      <c r="J2" s="1981" t="s">
        <v>1003</v>
      </c>
      <c r="K2" s="1982"/>
      <c r="L2" s="1981" t="s">
        <v>1018</v>
      </c>
      <c r="M2" s="1982"/>
      <c r="N2" s="1981" t="s">
        <v>1178</v>
      </c>
      <c r="O2" s="1982"/>
      <c r="P2" s="1981" t="s">
        <v>1179</v>
      </c>
      <c r="Q2" s="1982"/>
      <c r="R2" s="1981" t="s">
        <v>1306</v>
      </c>
      <c r="S2" s="1982"/>
      <c r="T2" s="1981" t="s">
        <v>1312</v>
      </c>
      <c r="U2" s="1982"/>
      <c r="V2" s="1981" t="s">
        <v>1333</v>
      </c>
      <c r="W2" s="1982"/>
      <c r="X2" s="1983" t="s">
        <v>1334</v>
      </c>
      <c r="Y2" s="1984"/>
      <c r="Z2" s="1985" t="str">
        <f>'[2]DISBALANCAT'!Z4</f>
        <v>TOTALI 2022</v>
      </c>
      <c r="AA2" s="1986"/>
    </row>
    <row r="3" spans="1:31" s="1216" customFormat="1" ht="73.5" customHeight="1">
      <c r="A3" s="1976"/>
      <c r="B3" s="1972" t="s">
        <v>1019</v>
      </c>
      <c r="C3" s="1972" t="s">
        <v>1020</v>
      </c>
      <c r="D3" s="1972" t="s">
        <v>1019</v>
      </c>
      <c r="E3" s="1972" t="s">
        <v>1020</v>
      </c>
      <c r="F3" s="1972" t="s">
        <v>1019</v>
      </c>
      <c r="G3" s="1972" t="s">
        <v>1020</v>
      </c>
      <c r="H3" s="1972" t="s">
        <v>1019</v>
      </c>
      <c r="I3" s="1972" t="s">
        <v>1020</v>
      </c>
      <c r="J3" s="1972" t="s">
        <v>1019</v>
      </c>
      <c r="K3" s="1972" t="s">
        <v>1020</v>
      </c>
      <c r="L3" s="1972" t="s">
        <v>1019</v>
      </c>
      <c r="M3" s="1972" t="s">
        <v>1020</v>
      </c>
      <c r="N3" s="1972" t="s">
        <v>1019</v>
      </c>
      <c r="O3" s="1972" t="s">
        <v>1020</v>
      </c>
      <c r="P3" s="1972" t="s">
        <v>1019</v>
      </c>
      <c r="Q3" s="1972" t="s">
        <v>1020</v>
      </c>
      <c r="R3" s="1972" t="s">
        <v>1019</v>
      </c>
      <c r="S3" s="1972" t="s">
        <v>1020</v>
      </c>
      <c r="T3" s="1972" t="s">
        <v>1019</v>
      </c>
      <c r="U3" s="1972" t="s">
        <v>1020</v>
      </c>
      <c r="V3" s="1972" t="s">
        <v>1019</v>
      </c>
      <c r="W3" s="1973" t="s">
        <v>1020</v>
      </c>
      <c r="X3" s="1964" t="s">
        <v>1019</v>
      </c>
      <c r="Y3" s="1966" t="s">
        <v>1020</v>
      </c>
      <c r="Z3" s="1968" t="s">
        <v>1019</v>
      </c>
      <c r="AA3" s="1970" t="s">
        <v>1020</v>
      </c>
      <c r="AB3" s="1215"/>
      <c r="AC3" s="1215"/>
      <c r="AD3" s="1215"/>
      <c r="AE3" s="1215"/>
    </row>
    <row r="4" spans="1:31" s="1216" customFormat="1" ht="62.25" customHeight="1" thickBot="1">
      <c r="A4" s="1996"/>
      <c r="B4" s="1957"/>
      <c r="C4" s="1957"/>
      <c r="D4" s="1957"/>
      <c r="E4" s="1957"/>
      <c r="F4" s="1957"/>
      <c r="G4" s="1957"/>
      <c r="H4" s="1957"/>
      <c r="I4" s="1957"/>
      <c r="J4" s="1957"/>
      <c r="K4" s="1957"/>
      <c r="L4" s="1957"/>
      <c r="M4" s="1957"/>
      <c r="N4" s="1957"/>
      <c r="O4" s="1957"/>
      <c r="P4" s="1956"/>
      <c r="Q4" s="1956"/>
      <c r="R4" s="1956"/>
      <c r="S4" s="1956"/>
      <c r="T4" s="1956"/>
      <c r="U4" s="1956"/>
      <c r="V4" s="1956"/>
      <c r="W4" s="1974"/>
      <c r="X4" s="1965"/>
      <c r="Y4" s="1967"/>
      <c r="Z4" s="1969"/>
      <c r="AA4" s="1971"/>
      <c r="AB4" s="1215"/>
      <c r="AC4" s="1215"/>
      <c r="AD4" s="1215"/>
      <c r="AE4" s="1215"/>
    </row>
    <row r="5" spans="1:37" ht="12">
      <c r="A5" s="1205" t="str">
        <f>'[2]DISBALANCAT'!A7</f>
        <v>KURUM INTERNATIONAL</v>
      </c>
      <c r="B5" s="1167">
        <v>298.34</v>
      </c>
      <c r="C5" s="1168">
        <v>32.97</v>
      </c>
      <c r="D5" s="1167">
        <v>862.59</v>
      </c>
      <c r="E5" s="1168">
        <v>644.66</v>
      </c>
      <c r="F5" s="1167">
        <v>1142.14</v>
      </c>
      <c r="G5" s="1168">
        <v>351.46</v>
      </c>
      <c r="H5" s="1167">
        <v>1203.31</v>
      </c>
      <c r="I5" s="1168">
        <v>549.15</v>
      </c>
      <c r="J5" s="1169">
        <v>965.23</v>
      </c>
      <c r="K5" s="1170">
        <v>173.61</v>
      </c>
      <c r="L5" s="1167">
        <v>795.52</v>
      </c>
      <c r="M5" s="1168">
        <v>529.23</v>
      </c>
      <c r="N5" s="1167">
        <v>123.65</v>
      </c>
      <c r="O5" s="1171">
        <v>44.72</v>
      </c>
      <c r="P5" s="1172">
        <v>26.04</v>
      </c>
      <c r="Q5" s="1170">
        <v>114.36</v>
      </c>
      <c r="R5" s="1172">
        <v>69.07</v>
      </c>
      <c r="S5" s="1170">
        <v>25.61</v>
      </c>
      <c r="T5" s="1172">
        <v>68.38</v>
      </c>
      <c r="U5" s="1170">
        <v>73.58</v>
      </c>
      <c r="V5" s="1172">
        <v>1101.37</v>
      </c>
      <c r="W5" s="1170">
        <v>776.56</v>
      </c>
      <c r="X5" s="1172">
        <v>1157.5733194499999</v>
      </c>
      <c r="Y5" s="1170">
        <v>353.4874493200001</v>
      </c>
      <c r="Z5" s="1217">
        <f>L5+J5+H5+F5+D5+B5+N5+R5+P5+T5+V5+X5</f>
        <v>7813.213319449999</v>
      </c>
      <c r="AA5" s="1218">
        <f>M5+K5+I5+G5+E5+C5+O5+S5+Q5+U5+W5+Y5</f>
        <v>3669.39744932</v>
      </c>
      <c r="AJ5" s="1219"/>
      <c r="AK5" s="1219"/>
    </row>
    <row r="6" spans="1:37" ht="12">
      <c r="A6" s="1206" t="str">
        <f>'[2]DISBALANCAT'!A9</f>
        <v>DEVOLL HP</v>
      </c>
      <c r="B6" s="1167">
        <v>33.79</v>
      </c>
      <c r="C6" s="1173">
        <v>561.23</v>
      </c>
      <c r="D6" s="1167">
        <v>163.92</v>
      </c>
      <c r="E6" s="1173">
        <v>66.7147663199989</v>
      </c>
      <c r="F6" s="1167">
        <v>119.7</v>
      </c>
      <c r="G6" s="1173">
        <v>74.87</v>
      </c>
      <c r="H6" s="1167">
        <v>22.78</v>
      </c>
      <c r="I6" s="1174">
        <v>65.29</v>
      </c>
      <c r="J6" s="1175">
        <v>438.69</v>
      </c>
      <c r="K6" s="1173">
        <v>53.99665473999943</v>
      </c>
      <c r="L6" s="1167">
        <v>17.97</v>
      </c>
      <c r="M6" s="1173">
        <v>28.57</v>
      </c>
      <c r="N6" s="1167">
        <v>18.07</v>
      </c>
      <c r="O6" s="1176">
        <v>21.03</v>
      </c>
      <c r="P6" s="1177">
        <v>53.61</v>
      </c>
      <c r="Q6" s="1173">
        <v>47.47</v>
      </c>
      <c r="R6" s="1177">
        <v>8.66</v>
      </c>
      <c r="S6" s="1173">
        <v>33.22</v>
      </c>
      <c r="T6" s="1177">
        <v>9.48</v>
      </c>
      <c r="U6" s="1173">
        <v>21.43</v>
      </c>
      <c r="V6" s="1177">
        <v>11.53</v>
      </c>
      <c r="W6" s="1173">
        <v>23.87</v>
      </c>
      <c r="X6" s="1177">
        <v>490.3730510800003</v>
      </c>
      <c r="Y6" s="1173">
        <v>48.89524909999963</v>
      </c>
      <c r="Z6" s="1217">
        <f aca="true" t="shared" si="0" ref="Z6:AA21">L6+J6+H6+F6+D6+B6+N6+R6+P6+T6+V6+X6</f>
        <v>1388.5730510800004</v>
      </c>
      <c r="AA6" s="1218">
        <f t="shared" si="0"/>
        <v>1046.586670159998</v>
      </c>
      <c r="AJ6" s="1219"/>
      <c r="AK6" s="1219"/>
    </row>
    <row r="7" spans="1:37" ht="12">
      <c r="A7" s="1206" t="s">
        <v>1327</v>
      </c>
      <c r="B7" s="1167"/>
      <c r="C7" s="1173"/>
      <c r="D7" s="1167"/>
      <c r="E7" s="1173"/>
      <c r="F7" s="1167"/>
      <c r="G7" s="1173"/>
      <c r="H7" s="1167"/>
      <c r="I7" s="1174"/>
      <c r="J7" s="1175"/>
      <c r="K7" s="1173"/>
      <c r="L7" s="1167"/>
      <c r="M7" s="1173"/>
      <c r="N7" s="1167"/>
      <c r="O7" s="1176"/>
      <c r="P7" s="1177"/>
      <c r="Q7" s="1173"/>
      <c r="R7" s="1177"/>
      <c r="S7" s="1173"/>
      <c r="T7" s="1177">
        <v>12.54</v>
      </c>
      <c r="U7" s="1173">
        <v>63.23</v>
      </c>
      <c r="V7" s="1177">
        <v>28.81</v>
      </c>
      <c r="W7" s="1173">
        <v>195.98</v>
      </c>
      <c r="X7" s="1177">
        <v>42.08203455000002</v>
      </c>
      <c r="Y7" s="1173">
        <v>113.83451437999989</v>
      </c>
      <c r="Z7" s="1217">
        <f t="shared" si="0"/>
        <v>83.43203455000001</v>
      </c>
      <c r="AA7" s="1218">
        <f t="shared" si="0"/>
        <v>373.0445143799999</v>
      </c>
      <c r="AB7" s="1220"/>
      <c r="AJ7" s="1219"/>
      <c r="AK7" s="1219"/>
    </row>
    <row r="8" spans="1:37" s="1220" customFormat="1" ht="12">
      <c r="A8" s="1206" t="s">
        <v>450</v>
      </c>
      <c r="B8" s="1178">
        <v>761.54</v>
      </c>
      <c r="C8" s="1174">
        <v>404</v>
      </c>
      <c r="D8" s="1178">
        <v>628.89</v>
      </c>
      <c r="E8" s="1174">
        <v>550.31</v>
      </c>
      <c r="F8" s="1178">
        <v>759.05</v>
      </c>
      <c r="G8" s="1174">
        <v>168.04</v>
      </c>
      <c r="H8" s="1178">
        <v>866</v>
      </c>
      <c r="I8" s="1174">
        <v>148.45</v>
      </c>
      <c r="J8" s="1179">
        <v>778.23</v>
      </c>
      <c r="K8" s="1174">
        <v>150.38</v>
      </c>
      <c r="L8" s="1178">
        <v>560.18</v>
      </c>
      <c r="M8" s="1174">
        <v>291.58</v>
      </c>
      <c r="N8" s="1178">
        <v>491.46</v>
      </c>
      <c r="O8" s="747">
        <v>295.4</v>
      </c>
      <c r="P8" s="1180">
        <v>1285.54</v>
      </c>
      <c r="Q8" s="1174">
        <v>543.64</v>
      </c>
      <c r="R8" s="1180">
        <v>1307.73</v>
      </c>
      <c r="S8" s="1174">
        <v>454.57</v>
      </c>
      <c r="T8" s="1180">
        <v>863.18</v>
      </c>
      <c r="U8" s="1174">
        <v>231.52</v>
      </c>
      <c r="V8" s="1180">
        <v>987.51</v>
      </c>
      <c r="W8" s="1174">
        <v>504.02</v>
      </c>
      <c r="X8" s="1180">
        <v>850.8667002999998</v>
      </c>
      <c r="Y8" s="1174">
        <v>989.2573926800001</v>
      </c>
      <c r="Z8" s="1221">
        <f t="shared" si="0"/>
        <v>10140.176700299999</v>
      </c>
      <c r="AA8" s="1222">
        <f t="shared" si="0"/>
        <v>4731.1673926799995</v>
      </c>
      <c r="AB8" s="1213"/>
      <c r="AJ8" s="1223"/>
      <c r="AK8" s="1223"/>
    </row>
    <row r="9" spans="1:37" ht="12">
      <c r="A9" s="1207" t="str">
        <f>'[2]DISBALANCAT'!A15</f>
        <v>ENERGIA GAS &amp; POWER ALBANIA</v>
      </c>
      <c r="B9" s="1167">
        <v>653.7</v>
      </c>
      <c r="C9" s="1173">
        <v>177.89</v>
      </c>
      <c r="D9" s="1167">
        <v>327.35</v>
      </c>
      <c r="E9" s="1173">
        <v>36.68</v>
      </c>
      <c r="F9" s="1167">
        <v>316.66</v>
      </c>
      <c r="G9" s="1173">
        <v>58.6</v>
      </c>
      <c r="H9" s="1167">
        <v>347.95</v>
      </c>
      <c r="I9" s="1173">
        <v>64.48</v>
      </c>
      <c r="J9" s="1175">
        <v>580.11</v>
      </c>
      <c r="K9" s="1173">
        <v>28.66</v>
      </c>
      <c r="L9" s="1167">
        <v>793.38</v>
      </c>
      <c r="M9" s="1173">
        <v>0.03</v>
      </c>
      <c r="N9" s="1167">
        <v>333.06</v>
      </c>
      <c r="O9" s="1176">
        <v>12.18</v>
      </c>
      <c r="P9" s="1177">
        <v>308.21</v>
      </c>
      <c r="Q9" s="1173">
        <v>16.34</v>
      </c>
      <c r="R9" s="1177">
        <v>184.24</v>
      </c>
      <c r="S9" s="1173">
        <v>20.17</v>
      </c>
      <c r="T9" s="1177">
        <v>173.42</v>
      </c>
      <c r="U9" s="1173">
        <v>21.84</v>
      </c>
      <c r="V9" s="1177"/>
      <c r="W9" s="1173"/>
      <c r="X9" s="1177"/>
      <c r="Y9" s="1173"/>
      <c r="Z9" s="1217">
        <f t="shared" si="0"/>
        <v>4018.080000000001</v>
      </c>
      <c r="AA9" s="1218">
        <f t="shared" si="0"/>
        <v>436.87</v>
      </c>
      <c r="AJ9" s="1219"/>
      <c r="AK9" s="1219"/>
    </row>
    <row r="10" spans="1:37" ht="12">
      <c r="A10" s="1207" t="s">
        <v>739</v>
      </c>
      <c r="B10" s="1167"/>
      <c r="C10" s="1173"/>
      <c r="D10" s="1167"/>
      <c r="E10" s="1173"/>
      <c r="F10" s="1167"/>
      <c r="G10" s="1173"/>
      <c r="H10" s="1167"/>
      <c r="I10" s="1173"/>
      <c r="J10" s="1175">
        <v>289.11</v>
      </c>
      <c r="K10" s="1173">
        <v>830.14</v>
      </c>
      <c r="L10" s="1167">
        <v>157.15</v>
      </c>
      <c r="M10" s="1173">
        <v>1379.8</v>
      </c>
      <c r="N10" s="1167">
        <v>502.82</v>
      </c>
      <c r="O10" s="1176">
        <v>527.04</v>
      </c>
      <c r="P10" s="1177"/>
      <c r="Q10" s="1173"/>
      <c r="R10" s="1177"/>
      <c r="S10" s="1173"/>
      <c r="T10" s="1177"/>
      <c r="U10" s="1173"/>
      <c r="V10" s="1177"/>
      <c r="W10" s="1173"/>
      <c r="X10" s="1177"/>
      <c r="Y10" s="1173"/>
      <c r="Z10" s="1217">
        <f t="shared" si="0"/>
        <v>949.0799999999999</v>
      </c>
      <c r="AA10" s="1218">
        <f t="shared" si="0"/>
        <v>2736.98</v>
      </c>
      <c r="AJ10" s="1219"/>
      <c r="AK10" s="1219"/>
    </row>
    <row r="11" spans="1:37" ht="12">
      <c r="A11" s="1207" t="str">
        <f>'[2]DISBALANCAT'!A17</f>
        <v>ENERGY 24</v>
      </c>
      <c r="B11" s="1167"/>
      <c r="C11" s="1173"/>
      <c r="D11" s="1167"/>
      <c r="E11" s="1173"/>
      <c r="F11" s="1167"/>
      <c r="G11" s="1173"/>
      <c r="H11" s="1167"/>
      <c r="I11" s="1173"/>
      <c r="J11" s="1175"/>
      <c r="K11" s="1173"/>
      <c r="L11" s="1167"/>
      <c r="M11" s="1173"/>
      <c r="N11" s="1167"/>
      <c r="O11" s="1176"/>
      <c r="P11" s="1177"/>
      <c r="Q11" s="1173"/>
      <c r="R11" s="1177"/>
      <c r="S11" s="1173"/>
      <c r="T11" s="1177"/>
      <c r="U11" s="1173"/>
      <c r="V11" s="1177">
        <v>169.19</v>
      </c>
      <c r="W11" s="1173">
        <v>79.7</v>
      </c>
      <c r="X11" s="1177">
        <v>89.496</v>
      </c>
      <c r="Y11" s="1173">
        <v>158.042</v>
      </c>
      <c r="Z11" s="1217">
        <f t="shared" si="0"/>
        <v>258.686</v>
      </c>
      <c r="AA11" s="1218">
        <f t="shared" si="0"/>
        <v>237.74200000000002</v>
      </c>
      <c r="AJ11" s="1219"/>
      <c r="AK11" s="1219"/>
    </row>
    <row r="12" spans="1:37" ht="15.75" customHeight="1">
      <c r="A12" s="1207" t="str">
        <f>'[2]DISBALANCAT'!A20</f>
        <v>AYEN AS ENERGJI</v>
      </c>
      <c r="B12" s="1167">
        <v>283.65</v>
      </c>
      <c r="C12" s="1173">
        <v>107.39</v>
      </c>
      <c r="D12" s="1167">
        <v>30.46</v>
      </c>
      <c r="E12" s="1173">
        <v>72.69</v>
      </c>
      <c r="F12" s="1167">
        <v>64.18</v>
      </c>
      <c r="G12" s="1173">
        <v>48.82</v>
      </c>
      <c r="H12" s="1167">
        <v>117.16</v>
      </c>
      <c r="I12" s="1173">
        <v>104.33</v>
      </c>
      <c r="J12" s="1175">
        <v>69.43</v>
      </c>
      <c r="K12" s="1173">
        <v>38.12</v>
      </c>
      <c r="L12" s="1167">
        <v>57.26</v>
      </c>
      <c r="M12" s="1173"/>
      <c r="N12" s="1167">
        <v>58.08</v>
      </c>
      <c r="O12" s="1176">
        <v>27.66</v>
      </c>
      <c r="P12" s="1177">
        <v>45.88</v>
      </c>
      <c r="Q12" s="1173">
        <v>17.59</v>
      </c>
      <c r="R12" s="1177">
        <v>148.33</v>
      </c>
      <c r="S12" s="1173">
        <v>98.28</v>
      </c>
      <c r="T12" s="1177">
        <v>98.92</v>
      </c>
      <c r="U12" s="1173">
        <v>31.99</v>
      </c>
      <c r="V12" s="1177">
        <v>172.38</v>
      </c>
      <c r="W12" s="1173">
        <v>106.49</v>
      </c>
      <c r="X12" s="1177">
        <v>314.9074258400004</v>
      </c>
      <c r="Y12" s="1173">
        <v>282.98408449999897</v>
      </c>
      <c r="Z12" s="1217">
        <f t="shared" si="0"/>
        <v>1460.6374258400006</v>
      </c>
      <c r="AA12" s="1218">
        <f t="shared" si="0"/>
        <v>936.344084499999</v>
      </c>
      <c r="AJ12" s="1219"/>
      <c r="AK12" s="1219"/>
    </row>
    <row r="13" spans="1:37" ht="12">
      <c r="A13" s="1207" t="str">
        <f>'[2]DISBALANCAT'!A22</f>
        <v>GSA</v>
      </c>
      <c r="B13" s="1167">
        <v>2748.5</v>
      </c>
      <c r="C13" s="1173">
        <v>27.72</v>
      </c>
      <c r="D13" s="1167">
        <v>1924.79</v>
      </c>
      <c r="E13" s="1173">
        <v>130.67</v>
      </c>
      <c r="F13" s="1167">
        <v>4701.24</v>
      </c>
      <c r="G13" s="1173">
        <v>369.93</v>
      </c>
      <c r="H13" s="1167">
        <v>1418.21</v>
      </c>
      <c r="I13" s="1173">
        <v>520.51</v>
      </c>
      <c r="J13" s="1175">
        <v>1343.52</v>
      </c>
      <c r="K13" s="1173">
        <v>598.48</v>
      </c>
      <c r="L13" s="1167">
        <v>3689.25</v>
      </c>
      <c r="M13" s="1173">
        <v>199.59</v>
      </c>
      <c r="N13" s="1167">
        <v>2526.96</v>
      </c>
      <c r="O13" s="1176">
        <v>24.78</v>
      </c>
      <c r="P13" s="1177">
        <v>2198.11</v>
      </c>
      <c r="Q13" s="1173">
        <v>231.03</v>
      </c>
      <c r="R13" s="1177">
        <v>1279.4</v>
      </c>
      <c r="S13" s="1173">
        <v>26.97</v>
      </c>
      <c r="T13" s="1177">
        <v>318.7</v>
      </c>
      <c r="U13" s="1173">
        <v>249.82</v>
      </c>
      <c r="V13" s="1177">
        <v>270.57</v>
      </c>
      <c r="W13" s="1173">
        <v>494</v>
      </c>
      <c r="X13" s="1177">
        <v>218.32360107000005</v>
      </c>
      <c r="Y13" s="1173">
        <v>1464.60601513</v>
      </c>
      <c r="Z13" s="1217">
        <f t="shared" si="0"/>
        <v>22637.573601070002</v>
      </c>
      <c r="AA13" s="1218">
        <f t="shared" si="0"/>
        <v>4338.106015130001</v>
      </c>
      <c r="AJ13" s="1219"/>
      <c r="AK13" s="1219"/>
    </row>
    <row r="14" spans="1:37" ht="12">
      <c r="A14" s="1207" t="str">
        <f>'[2]DISBALANCAT'!A24</f>
        <v>Albanian Energy Supplier AES</v>
      </c>
      <c r="B14" s="1167">
        <v>1355.16</v>
      </c>
      <c r="C14" s="1173">
        <v>79.1</v>
      </c>
      <c r="D14" s="1167"/>
      <c r="E14" s="1173"/>
      <c r="F14" s="1167"/>
      <c r="G14" s="1173"/>
      <c r="H14" s="1167"/>
      <c r="I14" s="1173"/>
      <c r="J14" s="1175"/>
      <c r="K14" s="1173"/>
      <c r="L14" s="1167"/>
      <c r="M14" s="1173">
        <v>16.34</v>
      </c>
      <c r="N14" s="1167"/>
      <c r="O14" s="1176"/>
      <c r="P14" s="1177"/>
      <c r="Q14" s="1173"/>
      <c r="R14" s="1177"/>
      <c r="S14" s="1173"/>
      <c r="T14" s="1177"/>
      <c r="U14" s="1173"/>
      <c r="V14" s="1177"/>
      <c r="W14" s="1173"/>
      <c r="X14" s="1177"/>
      <c r="Y14" s="1173"/>
      <c r="Z14" s="1217">
        <f t="shared" si="0"/>
        <v>1355.16</v>
      </c>
      <c r="AA14" s="1218">
        <f t="shared" si="0"/>
        <v>95.44</v>
      </c>
      <c r="AJ14" s="1219"/>
      <c r="AK14" s="1219"/>
    </row>
    <row r="15" spans="1:37" ht="12">
      <c r="A15" s="1207" t="s">
        <v>1307</v>
      </c>
      <c r="B15" s="1167"/>
      <c r="C15" s="1168"/>
      <c r="D15" s="1167"/>
      <c r="E15" s="1168"/>
      <c r="F15" s="1167"/>
      <c r="G15" s="1168"/>
      <c r="H15" s="1167"/>
      <c r="I15" s="1168"/>
      <c r="J15" s="1175"/>
      <c r="K15" s="1168"/>
      <c r="L15" s="1167"/>
      <c r="M15" s="1168"/>
      <c r="N15" s="1167"/>
      <c r="O15" s="1171"/>
      <c r="P15" s="1177"/>
      <c r="Q15" s="1173"/>
      <c r="R15" s="1177">
        <v>520.02</v>
      </c>
      <c r="S15" s="1173">
        <v>70.65</v>
      </c>
      <c r="T15" s="1177">
        <v>53.67</v>
      </c>
      <c r="U15" s="1173">
        <v>390.19</v>
      </c>
      <c r="V15" s="1177">
        <v>63.31</v>
      </c>
      <c r="W15" s="1173">
        <v>104.46</v>
      </c>
      <c r="X15" s="1177">
        <v>19.622978129999996</v>
      </c>
      <c r="Y15" s="1173">
        <v>51.48802363</v>
      </c>
      <c r="Z15" s="1217">
        <f t="shared" si="0"/>
        <v>656.62297813</v>
      </c>
      <c r="AA15" s="1218">
        <f t="shared" si="0"/>
        <v>616.7880236300001</v>
      </c>
      <c r="AJ15" s="1219"/>
      <c r="AK15" s="1219"/>
    </row>
    <row r="16" spans="1:37" ht="12">
      <c r="A16" s="1207" t="str">
        <f>'[2]DISBALANCAT'!A28</f>
        <v>Furnizuesi I Tregut të Lirë FTL (OSHEE Grup)</v>
      </c>
      <c r="B16" s="1181">
        <v>3460.13</v>
      </c>
      <c r="C16" s="1182">
        <v>22693.33</v>
      </c>
      <c r="D16" s="1181">
        <v>4419.98</v>
      </c>
      <c r="E16" s="1182">
        <v>26209.99</v>
      </c>
      <c r="F16" s="1181">
        <v>3732.34</v>
      </c>
      <c r="G16" s="1182">
        <v>25480.93</v>
      </c>
      <c r="H16" s="1181">
        <v>4192.33</v>
      </c>
      <c r="I16" s="1182">
        <v>27211.37</v>
      </c>
      <c r="J16" s="1183">
        <v>3970.64</v>
      </c>
      <c r="K16" s="1182">
        <v>14721.63</v>
      </c>
      <c r="L16" s="1181">
        <v>3850.51</v>
      </c>
      <c r="M16" s="1182">
        <v>10428.18</v>
      </c>
      <c r="N16" s="1181">
        <v>2364.04</v>
      </c>
      <c r="O16" s="1184">
        <v>15885.52</v>
      </c>
      <c r="P16" s="1185">
        <v>3330.48</v>
      </c>
      <c r="Q16" s="1173">
        <v>13830.52</v>
      </c>
      <c r="R16" s="1185">
        <v>2516.17</v>
      </c>
      <c r="S16" s="1173">
        <v>18669.79</v>
      </c>
      <c r="T16" s="1185">
        <v>1552.2</v>
      </c>
      <c r="U16" s="1173">
        <v>14489.41</v>
      </c>
      <c r="V16" s="1185">
        <v>5559.95</v>
      </c>
      <c r="W16" s="1173">
        <v>17979.31</v>
      </c>
      <c r="X16" s="1185">
        <v>2208.6306501100007</v>
      </c>
      <c r="Y16" s="1173">
        <v>33464.12537734996</v>
      </c>
      <c r="Z16" s="1217">
        <f t="shared" si="0"/>
        <v>41157.400650109994</v>
      </c>
      <c r="AA16" s="1218">
        <f t="shared" si="0"/>
        <v>241064.10537734994</v>
      </c>
      <c r="AB16" s="1215"/>
      <c r="AJ16" s="1219"/>
      <c r="AK16" s="1219"/>
    </row>
    <row r="17" spans="1:37" ht="12">
      <c r="A17" s="1207" t="str">
        <f>'[2]DISBALANCAT'!A30</f>
        <v>KESH (Pale Pergjegjese Balancuese)</v>
      </c>
      <c r="B17" s="1167">
        <v>308.49</v>
      </c>
      <c r="C17" s="1173">
        <v>2461.88</v>
      </c>
      <c r="D17" s="1167">
        <v>759.22</v>
      </c>
      <c r="E17" s="1173">
        <v>4118.48</v>
      </c>
      <c r="F17" s="1167">
        <v>512.37</v>
      </c>
      <c r="G17" s="1173">
        <v>2936.14</v>
      </c>
      <c r="H17" s="1167">
        <v>344.22</v>
      </c>
      <c r="I17" s="1173">
        <v>5500.06</v>
      </c>
      <c r="J17" s="1175">
        <v>373.52</v>
      </c>
      <c r="K17" s="1173">
        <v>2523.26</v>
      </c>
      <c r="L17" s="1167">
        <v>421.34</v>
      </c>
      <c r="M17" s="1173">
        <v>1878.35</v>
      </c>
      <c r="N17" s="1167">
        <v>522.53</v>
      </c>
      <c r="O17" s="1176">
        <v>1654.79</v>
      </c>
      <c r="P17" s="1177">
        <v>793.79</v>
      </c>
      <c r="Q17" s="1173">
        <v>1505.42</v>
      </c>
      <c r="R17" s="1177">
        <v>1020.96</v>
      </c>
      <c r="S17" s="1173">
        <v>1943.73</v>
      </c>
      <c r="T17" s="1177">
        <v>313.72</v>
      </c>
      <c r="U17" s="1173">
        <v>2584.87</v>
      </c>
      <c r="V17" s="1177">
        <v>1397.06</v>
      </c>
      <c r="W17" s="1173">
        <v>2495.08</v>
      </c>
      <c r="X17" s="1177">
        <v>4729.842664570004</v>
      </c>
      <c r="Y17" s="1173">
        <v>1884.7610648599978</v>
      </c>
      <c r="Z17" s="1217">
        <f t="shared" si="0"/>
        <v>11497.062664570003</v>
      </c>
      <c r="AA17" s="1218">
        <f t="shared" si="0"/>
        <v>31486.821064859996</v>
      </c>
      <c r="AC17" s="1215"/>
      <c r="AD17" s="1215"/>
      <c r="AE17" s="1215"/>
      <c r="AJ17" s="1219"/>
      <c r="AK17" s="1219"/>
    </row>
    <row r="18" spans="1:37" ht="12">
      <c r="A18" s="1207" t="str">
        <f>'[2]DISBALANCAT'!A32</f>
        <v>EZ-5 ENERGY</v>
      </c>
      <c r="B18" s="1167">
        <v>129.27</v>
      </c>
      <c r="C18" s="1173">
        <v>7.56</v>
      </c>
      <c r="D18" s="1167">
        <v>24.05</v>
      </c>
      <c r="E18" s="1173">
        <v>18.24</v>
      </c>
      <c r="F18" s="1167">
        <v>19.87</v>
      </c>
      <c r="G18" s="1173">
        <v>5.11</v>
      </c>
      <c r="H18" s="1167"/>
      <c r="I18" s="1173"/>
      <c r="J18" s="1175"/>
      <c r="K18" s="1173"/>
      <c r="L18" s="1167"/>
      <c r="M18" s="1173"/>
      <c r="N18" s="1167"/>
      <c r="O18" s="1176"/>
      <c r="P18" s="1177"/>
      <c r="Q18" s="1173"/>
      <c r="R18" s="1177"/>
      <c r="S18" s="1173"/>
      <c r="T18" s="1177"/>
      <c r="U18" s="1173"/>
      <c r="V18" s="1177"/>
      <c r="W18" s="1173"/>
      <c r="X18" s="1177">
        <v>21.279999999999994</v>
      </c>
      <c r="Y18" s="1173">
        <v>29.7</v>
      </c>
      <c r="Z18" s="1217">
        <f t="shared" si="0"/>
        <v>194.47</v>
      </c>
      <c r="AA18" s="1218">
        <f t="shared" si="0"/>
        <v>60.61</v>
      </c>
      <c r="AB18" s="1215"/>
      <c r="AJ18" s="1219"/>
      <c r="AK18" s="1219"/>
    </row>
    <row r="19" spans="1:37" ht="12">
      <c r="A19" s="1208" t="s">
        <v>1362</v>
      </c>
      <c r="B19" s="1167">
        <v>70.60194412</v>
      </c>
      <c r="C19" s="1186"/>
      <c r="D19" s="1167">
        <v>61.03013155</v>
      </c>
      <c r="E19" s="1186"/>
      <c r="F19" s="1167">
        <v>66.0296079</v>
      </c>
      <c r="G19" s="1186"/>
      <c r="H19" s="1167">
        <v>15.059516129999999</v>
      </c>
      <c r="I19" s="1186">
        <v>0</v>
      </c>
      <c r="J19" s="1175"/>
      <c r="K19" s="1186"/>
      <c r="L19" s="1167"/>
      <c r="M19" s="1186"/>
      <c r="N19" s="1167"/>
      <c r="O19" s="1187"/>
      <c r="P19" s="1177"/>
      <c r="Q19" s="1173"/>
      <c r="R19" s="1177"/>
      <c r="S19" s="1173"/>
      <c r="T19" s="1177"/>
      <c r="U19" s="1173"/>
      <c r="V19" s="1177"/>
      <c r="W19" s="1173"/>
      <c r="X19" s="1177"/>
      <c r="Y19" s="1173"/>
      <c r="Z19" s="1217">
        <f t="shared" si="0"/>
        <v>212.7211997</v>
      </c>
      <c r="AA19" s="1218">
        <f t="shared" si="0"/>
        <v>0</v>
      </c>
      <c r="AB19" s="1215"/>
      <c r="AC19" s="1215"/>
      <c r="AD19" s="1215"/>
      <c r="AE19" s="1215"/>
      <c r="AJ19" s="1219"/>
      <c r="AK19" s="1219"/>
    </row>
    <row r="20" spans="1:37" ht="12">
      <c r="A20" s="1209" t="s">
        <v>1021</v>
      </c>
      <c r="B20" s="1167">
        <v>2702.512</v>
      </c>
      <c r="C20" s="1186">
        <v>12583.661000000002</v>
      </c>
      <c r="D20" s="1167">
        <v>2683.1270000000004</v>
      </c>
      <c r="E20" s="1186">
        <v>10333.008000000002</v>
      </c>
      <c r="F20" s="1167">
        <v>1137.174</v>
      </c>
      <c r="G20" s="1186">
        <v>14238.518666750002</v>
      </c>
      <c r="H20" s="1167">
        <v>4575.815</v>
      </c>
      <c r="I20" s="1186">
        <v>8665.625000000002</v>
      </c>
      <c r="J20" s="1175">
        <v>6960.289000000001</v>
      </c>
      <c r="K20" s="1186">
        <v>5197.4205</v>
      </c>
      <c r="L20" s="1167">
        <v>9614.959665</v>
      </c>
      <c r="M20" s="1186">
        <v>2279.9616675</v>
      </c>
      <c r="N20" s="1167">
        <v>3806.4529999999995</v>
      </c>
      <c r="O20" s="1187">
        <v>9168.988</v>
      </c>
      <c r="P20" s="1177">
        <v>6288.342000000001</v>
      </c>
      <c r="Q20" s="1173">
        <v>6006.627</v>
      </c>
      <c r="R20" s="1177">
        <v>3464.827</v>
      </c>
      <c r="S20" s="1173">
        <v>8125.659</v>
      </c>
      <c r="T20" s="1177">
        <v>908.903</v>
      </c>
      <c r="U20" s="1173">
        <v>14056.219000000003</v>
      </c>
      <c r="V20" s="1177">
        <v>11889.610000000002</v>
      </c>
      <c r="W20" s="1173">
        <v>1562.1870000000004</v>
      </c>
      <c r="X20" s="1177">
        <v>12397.542850749996</v>
      </c>
      <c r="Y20" s="1173">
        <v>2530.4377962500002</v>
      </c>
      <c r="Z20" s="1217">
        <f t="shared" si="0"/>
        <v>66429.55451574999</v>
      </c>
      <c r="AA20" s="1218">
        <f t="shared" si="0"/>
        <v>94748.3126305</v>
      </c>
      <c r="AC20" s="1215"/>
      <c r="AD20" s="1215"/>
      <c r="AE20" s="1215"/>
      <c r="AJ20" s="1219"/>
      <c r="AK20" s="1219"/>
    </row>
    <row r="21" spans="1:37" ht="12" thickBot="1">
      <c r="A21" s="1208" t="str">
        <f>'[2]DISBALANCAT'!A38</f>
        <v>OST - HUMBJET</v>
      </c>
      <c r="B21" s="1167">
        <v>5028.07</v>
      </c>
      <c r="C21" s="1173">
        <v>1505.82</v>
      </c>
      <c r="D21" s="1167">
        <v>1278.05</v>
      </c>
      <c r="E21" s="1173">
        <v>2228.74</v>
      </c>
      <c r="F21" s="1167">
        <v>1619.25</v>
      </c>
      <c r="G21" s="1173">
        <v>2888.85</v>
      </c>
      <c r="H21" s="1167">
        <v>14684.812109316763</v>
      </c>
      <c r="I21" s="1173">
        <v>1.9640746967224558</v>
      </c>
      <c r="J21" s="1188">
        <v>8261.66</v>
      </c>
      <c r="K21" s="1173">
        <v>48.84</v>
      </c>
      <c r="L21" s="1167">
        <v>6930.59</v>
      </c>
      <c r="M21" s="1173">
        <v>12.33</v>
      </c>
      <c r="N21" s="1167">
        <v>3023.54</v>
      </c>
      <c r="O21" s="1176">
        <v>503.9</v>
      </c>
      <c r="P21" s="1177">
        <v>900.35</v>
      </c>
      <c r="Q21" s="1173">
        <v>1243.91</v>
      </c>
      <c r="R21" s="1177">
        <v>955.4</v>
      </c>
      <c r="S21" s="1173">
        <v>2021.14</v>
      </c>
      <c r="T21" s="1177">
        <v>1326.32</v>
      </c>
      <c r="U21" s="1173">
        <v>1055.17</v>
      </c>
      <c r="V21" s="1177">
        <v>2375.03</v>
      </c>
      <c r="W21" s="1173">
        <v>656.54</v>
      </c>
      <c r="X21" s="1177">
        <v>3596.588628061489</v>
      </c>
      <c r="Y21" s="1173">
        <v>1566.2393060515703</v>
      </c>
      <c r="Z21" s="1224">
        <f t="shared" si="0"/>
        <v>49979.66073737825</v>
      </c>
      <c r="AA21" s="1218">
        <f t="shared" si="0"/>
        <v>13733.443380748291</v>
      </c>
      <c r="AB21" s="1215"/>
      <c r="AJ21" s="1219"/>
      <c r="AK21" s="1219"/>
    </row>
    <row r="22" spans="1:37" s="1216" customFormat="1" ht="88.5" customHeight="1">
      <c r="A22" s="1975" t="s">
        <v>1023</v>
      </c>
      <c r="B22" s="1977" t="s">
        <v>1024</v>
      </c>
      <c r="C22" s="1979" t="s">
        <v>1025</v>
      </c>
      <c r="D22" s="1972" t="s">
        <v>1024</v>
      </c>
      <c r="E22" s="1972" t="s">
        <v>1025</v>
      </c>
      <c r="F22" s="1972" t="s">
        <v>1024</v>
      </c>
      <c r="G22" s="1972" t="s">
        <v>1025</v>
      </c>
      <c r="H22" s="1972" t="s">
        <v>1024</v>
      </c>
      <c r="I22" s="1972" t="s">
        <v>1025</v>
      </c>
      <c r="J22" s="1994" t="s">
        <v>1024</v>
      </c>
      <c r="K22" s="1972" t="s">
        <v>1025</v>
      </c>
      <c r="L22" s="1972" t="s">
        <v>1024</v>
      </c>
      <c r="M22" s="1972" t="s">
        <v>1025</v>
      </c>
      <c r="N22" s="1972" t="s">
        <v>1024</v>
      </c>
      <c r="O22" s="1972" t="s">
        <v>1025</v>
      </c>
      <c r="P22" s="1958" t="s">
        <v>1024</v>
      </c>
      <c r="Q22" s="1956" t="s">
        <v>1025</v>
      </c>
      <c r="R22" s="1956" t="s">
        <v>1024</v>
      </c>
      <c r="S22" s="1956" t="s">
        <v>1025</v>
      </c>
      <c r="T22" s="1958" t="s">
        <v>1024</v>
      </c>
      <c r="U22" s="1956" t="s">
        <v>1025</v>
      </c>
      <c r="V22" s="1958" t="s">
        <v>1024</v>
      </c>
      <c r="W22" s="1956" t="s">
        <v>1025</v>
      </c>
      <c r="X22" s="1956" t="s">
        <v>1024</v>
      </c>
      <c r="Y22" s="1974" t="s">
        <v>1025</v>
      </c>
      <c r="Z22" s="1987" t="s">
        <v>1024</v>
      </c>
      <c r="AA22" s="1989" t="s">
        <v>1025</v>
      </c>
      <c r="AB22" s="1215"/>
      <c r="AC22" s="1215"/>
      <c r="AD22" s="1215"/>
      <c r="AE22" s="1215"/>
      <c r="AG22" s="1213"/>
      <c r="AH22" s="1213"/>
      <c r="AI22" s="1213"/>
      <c r="AJ22" s="1213"/>
      <c r="AK22" s="1213"/>
    </row>
    <row r="23" spans="1:37" s="1216" customFormat="1" ht="60.75" customHeight="1" thickBot="1">
      <c r="A23" s="1976"/>
      <c r="B23" s="1978"/>
      <c r="C23" s="1980"/>
      <c r="D23" s="1956"/>
      <c r="E23" s="1956"/>
      <c r="F23" s="1956"/>
      <c r="G23" s="1956"/>
      <c r="H23" s="1956"/>
      <c r="I23" s="1956"/>
      <c r="J23" s="1995"/>
      <c r="K23" s="1956"/>
      <c r="L23" s="1956"/>
      <c r="M23" s="1956"/>
      <c r="N23" s="1956"/>
      <c r="O23" s="1957"/>
      <c r="P23" s="1958"/>
      <c r="Q23" s="1956"/>
      <c r="R23" s="1956"/>
      <c r="S23" s="1957"/>
      <c r="T23" s="1958"/>
      <c r="U23" s="1956"/>
      <c r="V23" s="1958"/>
      <c r="W23" s="1956"/>
      <c r="X23" s="1956"/>
      <c r="Y23" s="1974"/>
      <c r="Z23" s="1988"/>
      <c r="AA23" s="1990"/>
      <c r="AB23" s="1215"/>
      <c r="AC23" s="1215"/>
      <c r="AD23" s="1215"/>
      <c r="AE23" s="1215"/>
      <c r="AG23" s="1213"/>
      <c r="AH23" s="1213"/>
      <c r="AI23" s="1213"/>
      <c r="AJ23" s="1213"/>
      <c r="AK23" s="1213"/>
    </row>
    <row r="24" spans="1:37" s="1216" customFormat="1" ht="12">
      <c r="A24" s="1210" t="s">
        <v>1180</v>
      </c>
      <c r="B24" s="1225"/>
      <c r="C24" s="1226">
        <v>117.25956623</v>
      </c>
      <c r="D24" s="1225"/>
      <c r="E24" s="1226"/>
      <c r="F24" s="1225"/>
      <c r="G24" s="1226"/>
      <c r="H24" s="1227"/>
      <c r="I24" s="1228">
        <v>17.8</v>
      </c>
      <c r="J24" s="1229">
        <v>12.9</v>
      </c>
      <c r="K24" s="1228">
        <v>52.64</v>
      </c>
      <c r="L24" s="1227"/>
      <c r="M24" s="1228"/>
      <c r="N24" s="1230"/>
      <c r="O24" s="1231"/>
      <c r="P24" s="1227"/>
      <c r="Q24" s="1228"/>
      <c r="R24" s="1229"/>
      <c r="S24" s="1232"/>
      <c r="T24" s="1225"/>
      <c r="U24" s="1226"/>
      <c r="V24" s="1229"/>
      <c r="W24" s="1232"/>
      <c r="X24" s="1229"/>
      <c r="Y24" s="1233"/>
      <c r="Z24" s="1234">
        <f>L24+J24+H24+F24+D24+B24+N24+R24+P24+T24+V24+X24</f>
        <v>12.9</v>
      </c>
      <c r="AA24" s="1235">
        <f>M24+K24+I24+G24+E24+C24+O24+S24+Q24+U24+W24+Y24</f>
        <v>187.69956623000002</v>
      </c>
      <c r="AB24" s="1215"/>
      <c r="AC24" s="1215"/>
      <c r="AD24" s="1215"/>
      <c r="AE24" s="1215"/>
      <c r="AG24" s="1213"/>
      <c r="AH24" s="1213"/>
      <c r="AI24" s="1213"/>
      <c r="AJ24" s="1213"/>
      <c r="AK24" s="1213"/>
    </row>
    <row r="25" spans="1:37" s="1216" customFormat="1" ht="12">
      <c r="A25" s="1206" t="s">
        <v>1181</v>
      </c>
      <c r="B25" s="1236"/>
      <c r="C25" s="1237"/>
      <c r="D25" s="1236"/>
      <c r="E25" s="1237"/>
      <c r="F25" s="1236"/>
      <c r="G25" s="1237"/>
      <c r="H25" s="1238"/>
      <c r="I25" s="1239"/>
      <c r="J25" s="1240"/>
      <c r="K25" s="1239"/>
      <c r="L25" s="1238"/>
      <c r="M25" s="1239"/>
      <c r="N25" s="1241"/>
      <c r="O25" s="1242"/>
      <c r="P25" s="1238"/>
      <c r="Q25" s="1239"/>
      <c r="R25" s="1240"/>
      <c r="S25" s="1243"/>
      <c r="T25" s="1236"/>
      <c r="U25" s="1237"/>
      <c r="V25" s="1240"/>
      <c r="W25" s="1243"/>
      <c r="X25" s="1240"/>
      <c r="Y25" s="1244"/>
      <c r="Z25" s="1217">
        <f aca="true" t="shared" si="1" ref="Z25:AA29">L25+J25+H25+F25+D25+B25+N25+R25+P25+T25+V25+X25</f>
        <v>0</v>
      </c>
      <c r="AA25" s="1218">
        <f t="shared" si="1"/>
        <v>0</v>
      </c>
      <c r="AB25" s="1215"/>
      <c r="AC25" s="1215"/>
      <c r="AD25" s="1215"/>
      <c r="AE25" s="1215"/>
      <c r="AG25" s="1213"/>
      <c r="AH25" s="1213"/>
      <c r="AI25" s="1213"/>
      <c r="AJ25" s="1213"/>
      <c r="AK25" s="1213"/>
    </row>
    <row r="26" spans="1:37" s="1216" customFormat="1" ht="12">
      <c r="A26" s="1207" t="s">
        <v>1182</v>
      </c>
      <c r="B26" s="1236"/>
      <c r="C26" s="1237"/>
      <c r="D26" s="1236"/>
      <c r="E26" s="1237"/>
      <c r="F26" s="1236"/>
      <c r="G26" s="1237"/>
      <c r="H26" s="1238"/>
      <c r="I26" s="1239"/>
      <c r="J26" s="1240"/>
      <c r="K26" s="1239"/>
      <c r="L26" s="1238"/>
      <c r="M26" s="1239"/>
      <c r="N26" s="1241"/>
      <c r="O26" s="1242"/>
      <c r="P26" s="1238"/>
      <c r="Q26" s="1239"/>
      <c r="R26" s="1240"/>
      <c r="S26" s="1243"/>
      <c r="T26" s="1236"/>
      <c r="U26" s="1237"/>
      <c r="V26" s="1240"/>
      <c r="W26" s="1243"/>
      <c r="X26" s="1240"/>
      <c r="Y26" s="1244"/>
      <c r="Z26" s="1217">
        <f t="shared" si="1"/>
        <v>0</v>
      </c>
      <c r="AA26" s="1218">
        <f t="shared" si="1"/>
        <v>0</v>
      </c>
      <c r="AB26" s="1215"/>
      <c r="AC26" s="1215"/>
      <c r="AD26" s="1215"/>
      <c r="AE26" s="1215"/>
      <c r="AG26" s="1213"/>
      <c r="AH26" s="1213"/>
      <c r="AI26" s="1213"/>
      <c r="AJ26" s="1213"/>
      <c r="AK26" s="1213"/>
    </row>
    <row r="27" spans="1:37" s="1216" customFormat="1" ht="12">
      <c r="A27" s="1207" t="s">
        <v>1183</v>
      </c>
      <c r="B27" s="1236"/>
      <c r="C27" s="1237"/>
      <c r="D27" s="1236"/>
      <c r="E27" s="1237"/>
      <c r="F27" s="1236"/>
      <c r="G27" s="1237"/>
      <c r="H27" s="1238"/>
      <c r="I27" s="1239"/>
      <c r="J27" s="1240"/>
      <c r="K27" s="1239"/>
      <c r="L27" s="1238"/>
      <c r="M27" s="1239"/>
      <c r="N27" s="1241"/>
      <c r="O27" s="1242"/>
      <c r="P27" s="1238"/>
      <c r="Q27" s="1239"/>
      <c r="R27" s="1240"/>
      <c r="S27" s="1243"/>
      <c r="T27" s="1236"/>
      <c r="U27" s="1237"/>
      <c r="V27" s="1240"/>
      <c r="W27" s="1243"/>
      <c r="X27" s="1240"/>
      <c r="Y27" s="1244"/>
      <c r="Z27" s="1217">
        <f t="shared" si="1"/>
        <v>0</v>
      </c>
      <c r="AA27" s="1218">
        <f t="shared" si="1"/>
        <v>0</v>
      </c>
      <c r="AG27" s="1213"/>
      <c r="AH27" s="1213"/>
      <c r="AI27" s="1213"/>
      <c r="AJ27" s="1213"/>
      <c r="AK27" s="1213"/>
    </row>
    <row r="28" spans="1:37" s="1216" customFormat="1" ht="12">
      <c r="A28" s="1207" t="s">
        <v>1184</v>
      </c>
      <c r="B28" s="1189">
        <v>6925.47</v>
      </c>
      <c r="C28" s="1190">
        <v>4233.3</v>
      </c>
      <c r="D28" s="1189">
        <v>8165.3</v>
      </c>
      <c r="E28" s="1190">
        <v>3878.3</v>
      </c>
      <c r="F28" s="1189">
        <v>8206.43</v>
      </c>
      <c r="G28" s="1190">
        <v>4471.5</v>
      </c>
      <c r="H28" s="1189">
        <v>6126.94</v>
      </c>
      <c r="I28" s="1190">
        <v>4668.02</v>
      </c>
      <c r="J28" s="1245">
        <v>6162.16</v>
      </c>
      <c r="K28" s="1246">
        <v>5290.05</v>
      </c>
      <c r="L28" s="1247">
        <v>5491.15</v>
      </c>
      <c r="M28" s="1248">
        <v>4487.65</v>
      </c>
      <c r="N28" s="1249">
        <v>5973.68</v>
      </c>
      <c r="O28" s="1250">
        <v>5206.16</v>
      </c>
      <c r="P28" s="1247">
        <v>6959.68</v>
      </c>
      <c r="Q28" s="1248">
        <v>3480.33</v>
      </c>
      <c r="R28" s="1245">
        <v>7406.14</v>
      </c>
      <c r="S28" s="1246">
        <v>3567.73</v>
      </c>
      <c r="T28" s="1245">
        <v>4858.85</v>
      </c>
      <c r="U28" s="1246">
        <v>4853.01</v>
      </c>
      <c r="V28" s="1245">
        <v>5392.34</v>
      </c>
      <c r="W28" s="1246">
        <v>5960.4</v>
      </c>
      <c r="X28" s="1245">
        <v>11713.96080197</v>
      </c>
      <c r="Y28" s="1246">
        <v>1771.4284471499996</v>
      </c>
      <c r="Z28" s="1217">
        <f t="shared" si="1"/>
        <v>83382.10080197</v>
      </c>
      <c r="AA28" s="1218">
        <f t="shared" si="1"/>
        <v>51867.878447150004</v>
      </c>
      <c r="AC28" s="1213"/>
      <c r="AG28" s="1213"/>
      <c r="AH28" s="1213"/>
      <c r="AI28" s="1213"/>
      <c r="AJ28" s="1213"/>
      <c r="AK28" s="1213"/>
    </row>
    <row r="29" spans="1:27" ht="12" thickBot="1">
      <c r="A29" s="1211" t="s">
        <v>1185</v>
      </c>
      <c r="B29" s="1191">
        <v>2431.47</v>
      </c>
      <c r="C29" s="1192">
        <v>175.36</v>
      </c>
      <c r="D29" s="1191">
        <v>4568.81</v>
      </c>
      <c r="E29" s="1192"/>
      <c r="F29" s="1191">
        <v>1739.88</v>
      </c>
      <c r="G29" s="1192">
        <v>0</v>
      </c>
      <c r="H29" s="1191">
        <v>2289.24</v>
      </c>
      <c r="I29" s="1192">
        <v>140.67</v>
      </c>
      <c r="J29" s="1193">
        <v>1923.67</v>
      </c>
      <c r="K29" s="1194"/>
      <c r="L29" s="1195">
        <v>1447.92</v>
      </c>
      <c r="M29" s="1194">
        <v>44.43</v>
      </c>
      <c r="N29" s="1196">
        <v>3619.24</v>
      </c>
      <c r="O29" s="1197">
        <v>203.53</v>
      </c>
      <c r="P29" s="1195">
        <v>4082.72</v>
      </c>
      <c r="Q29" s="1194">
        <v>1057.35</v>
      </c>
      <c r="R29" s="1195">
        <v>8974.37</v>
      </c>
      <c r="S29" s="1194">
        <v>1900.76</v>
      </c>
      <c r="T29" s="1195">
        <v>3308.32</v>
      </c>
      <c r="U29" s="1194">
        <v>1772.37</v>
      </c>
      <c r="V29" s="1198">
        <v>2437.21</v>
      </c>
      <c r="W29" s="1199">
        <v>5146.14</v>
      </c>
      <c r="X29" s="1195">
        <v>7606.81213148</v>
      </c>
      <c r="Y29" s="1194">
        <v>3702.132899019999</v>
      </c>
      <c r="Z29" s="1217">
        <f t="shared" si="1"/>
        <v>44429.66213148</v>
      </c>
      <c r="AA29" s="1218">
        <f t="shared" si="1"/>
        <v>14142.742899019999</v>
      </c>
    </row>
    <row r="30" spans="1:37" s="1214" customFormat="1" ht="20.25" customHeight="1" thickBot="1">
      <c r="A30" s="1212" t="s">
        <v>1186</v>
      </c>
      <c r="B30" s="1200">
        <f aca="true" t="shared" si="2" ref="B30:AA30">SUM(B5:B18)+SUM(B20:B21)+SUM(B24:B29)</f>
        <v>27120.092000000004</v>
      </c>
      <c r="C30" s="1201">
        <f t="shared" si="2"/>
        <v>45168.470566230004</v>
      </c>
      <c r="D30" s="1200">
        <f t="shared" si="2"/>
        <v>25836.537</v>
      </c>
      <c r="E30" s="1201">
        <f t="shared" si="2"/>
        <v>48288.482766320005</v>
      </c>
      <c r="F30" s="1200">
        <f t="shared" si="2"/>
        <v>24070.284000000003</v>
      </c>
      <c r="G30" s="1202">
        <f t="shared" si="2"/>
        <v>51092.76866675</v>
      </c>
      <c r="H30" s="1200">
        <f t="shared" si="2"/>
        <v>36188.76710931676</v>
      </c>
      <c r="I30" s="1202">
        <f t="shared" si="2"/>
        <v>47657.71907469672</v>
      </c>
      <c r="J30" s="1200">
        <f t="shared" si="2"/>
        <v>32129.159</v>
      </c>
      <c r="K30" s="1201">
        <f t="shared" si="2"/>
        <v>29707.22715474</v>
      </c>
      <c r="L30" s="1200">
        <f t="shared" si="2"/>
        <v>33827.179665</v>
      </c>
      <c r="M30" s="1202">
        <f t="shared" si="2"/>
        <v>21576.0416675</v>
      </c>
      <c r="N30" s="1200">
        <f t="shared" si="2"/>
        <v>23363.583</v>
      </c>
      <c r="O30" s="1201">
        <f t="shared" si="2"/>
        <v>33575.698000000004</v>
      </c>
      <c r="P30" s="1200">
        <f t="shared" si="2"/>
        <v>26272.752</v>
      </c>
      <c r="Q30" s="1201">
        <f t="shared" si="2"/>
        <v>28094.587</v>
      </c>
      <c r="R30" s="1200">
        <f t="shared" si="2"/>
        <v>27855.317000000003</v>
      </c>
      <c r="S30" s="1201">
        <f t="shared" si="2"/>
        <v>36958.279</v>
      </c>
      <c r="T30" s="1200">
        <f t="shared" si="2"/>
        <v>13866.603</v>
      </c>
      <c r="U30" s="1201">
        <f t="shared" si="2"/>
        <v>39894.649</v>
      </c>
      <c r="V30" s="1200">
        <f t="shared" si="2"/>
        <v>31855.87</v>
      </c>
      <c r="W30" s="1201">
        <f t="shared" si="2"/>
        <v>36084.737</v>
      </c>
      <c r="X30" s="1200">
        <f t="shared" si="2"/>
        <v>45457.902837361486</v>
      </c>
      <c r="Y30" s="1201">
        <f t="shared" si="2"/>
        <v>48411.41961942152</v>
      </c>
      <c r="Z30" s="1203">
        <f t="shared" si="2"/>
        <v>347844.0466116782</v>
      </c>
      <c r="AA30" s="1204">
        <f t="shared" si="2"/>
        <v>466510.0795156582</v>
      </c>
      <c r="AG30" s="1216"/>
      <c r="AH30" s="1216"/>
      <c r="AI30" s="1216"/>
      <c r="AJ30" s="1216"/>
      <c r="AK30" s="1216"/>
    </row>
    <row r="31" spans="1:27" s="1216" customFormat="1" ht="33.75" customHeight="1" thickBot="1">
      <c r="A31" s="1251" t="s">
        <v>1022</v>
      </c>
      <c r="B31" s="1961">
        <f>C30-B30</f>
        <v>18048.37856623</v>
      </c>
      <c r="C31" s="1962"/>
      <c r="D31" s="1963">
        <f>E30-D30</f>
        <v>22451.945766320005</v>
      </c>
      <c r="E31" s="1962"/>
      <c r="F31" s="1963">
        <f>G30-F30</f>
        <v>27022.48466675</v>
      </c>
      <c r="G31" s="1962"/>
      <c r="H31" s="1961">
        <f>I30-H30</f>
        <v>11468.951965379958</v>
      </c>
      <c r="I31" s="1962"/>
      <c r="J31" s="1961">
        <f>K30-J30</f>
        <v>-2421.931845259998</v>
      </c>
      <c r="K31" s="1962"/>
      <c r="L31" s="1963">
        <f>M30-L30</f>
        <v>-12251.137997500002</v>
      </c>
      <c r="M31" s="1962"/>
      <c r="N31" s="1961">
        <f>O30-N30</f>
        <v>10212.115000000005</v>
      </c>
      <c r="O31" s="1962"/>
      <c r="P31" s="1961">
        <f>Q30-P30</f>
        <v>1821.8349999999991</v>
      </c>
      <c r="Q31" s="1962"/>
      <c r="R31" s="1963">
        <f>S30-R30</f>
        <v>9102.962</v>
      </c>
      <c r="S31" s="1962"/>
      <c r="T31" s="1963">
        <f>U30-T30</f>
        <v>26028.046</v>
      </c>
      <c r="U31" s="1962"/>
      <c r="V31" s="1963">
        <f>W30-V30</f>
        <v>4228.867000000002</v>
      </c>
      <c r="W31" s="1962"/>
      <c r="X31" s="1963">
        <f>Y30-X30</f>
        <v>2953.5167820600327</v>
      </c>
      <c r="Y31" s="1962"/>
      <c r="Z31" s="1959">
        <f>AA30-Z30</f>
        <v>118666.03290398</v>
      </c>
      <c r="AA31" s="1960"/>
    </row>
    <row r="32" ht="12" thickBot="1">
      <c r="B32" s="1253"/>
    </row>
    <row r="33" spans="2:24" ht="15" thickBot="1">
      <c r="B33" s="1254"/>
      <c r="W33" s="1907" t="s">
        <v>1055</v>
      </c>
      <c r="X33" s="1908"/>
    </row>
    <row r="34" spans="2:16" ht="12">
      <c r="B34" s="1253"/>
      <c r="D34" s="1253"/>
      <c r="F34" s="1253"/>
      <c r="H34" s="1253"/>
      <c r="J34" s="1253"/>
      <c r="L34" s="1253"/>
      <c r="N34" s="1253"/>
      <c r="P34" s="1253"/>
    </row>
  </sheetData>
  <sheetProtection/>
  <mergeCells count="82">
    <mergeCell ref="Y22:Y23"/>
    <mergeCell ref="Z22:Z23"/>
    <mergeCell ref="AA22:AA23"/>
    <mergeCell ref="A1:AA1"/>
    <mergeCell ref="F22:F23"/>
    <mergeCell ref="G22:G23"/>
    <mergeCell ref="H22:H23"/>
    <mergeCell ref="I22:I23"/>
    <mergeCell ref="J22:J23"/>
    <mergeCell ref="J2:K2"/>
    <mergeCell ref="J3:J4"/>
    <mergeCell ref="K3:K4"/>
    <mergeCell ref="A2:A4"/>
    <mergeCell ref="B2:C2"/>
    <mergeCell ref="D2:E2"/>
    <mergeCell ref="F2:G2"/>
    <mergeCell ref="H2:I2"/>
    <mergeCell ref="X2:Y2"/>
    <mergeCell ref="Z2:AA2"/>
    <mergeCell ref="B3:B4"/>
    <mergeCell ref="C3:C4"/>
    <mergeCell ref="D3:D4"/>
    <mergeCell ref="E3:E4"/>
    <mergeCell ref="F3:F4"/>
    <mergeCell ref="G3:G4"/>
    <mergeCell ref="H3:H4"/>
    <mergeCell ref="I3:I4"/>
    <mergeCell ref="L2:M2"/>
    <mergeCell ref="N2:O2"/>
    <mergeCell ref="P2:Q2"/>
    <mergeCell ref="R2:S2"/>
    <mergeCell ref="T2:U2"/>
    <mergeCell ref="V2:W2"/>
    <mergeCell ref="R3:R4"/>
    <mergeCell ref="S3:S4"/>
    <mergeCell ref="T3:T4"/>
    <mergeCell ref="U3:U4"/>
    <mergeCell ref="A22:A23"/>
    <mergeCell ref="B22:B23"/>
    <mergeCell ref="C22:C23"/>
    <mergeCell ref="D22:D23"/>
    <mergeCell ref="E22:E23"/>
    <mergeCell ref="K22:K23"/>
    <mergeCell ref="L22:L23"/>
    <mergeCell ref="M22:M23"/>
    <mergeCell ref="N22:N23"/>
    <mergeCell ref="O22:O23"/>
    <mergeCell ref="P22:P23"/>
    <mergeCell ref="Q22:Q23"/>
    <mergeCell ref="L3:L4"/>
    <mergeCell ref="M3:M4"/>
    <mergeCell ref="N3:N4"/>
    <mergeCell ref="O3:O4"/>
    <mergeCell ref="P3:P4"/>
    <mergeCell ref="Q3:Q4"/>
    <mergeCell ref="X3:X4"/>
    <mergeCell ref="Y3:Y4"/>
    <mergeCell ref="Z3:Z4"/>
    <mergeCell ref="AA3:AA4"/>
    <mergeCell ref="V3:V4"/>
    <mergeCell ref="W3:W4"/>
    <mergeCell ref="Z31:AA31"/>
    <mergeCell ref="B31:C31"/>
    <mergeCell ref="D31:E31"/>
    <mergeCell ref="F31:G31"/>
    <mergeCell ref="H31:I31"/>
    <mergeCell ref="J31:K31"/>
    <mergeCell ref="L31:M31"/>
    <mergeCell ref="N31:O31"/>
    <mergeCell ref="X31:Y31"/>
    <mergeCell ref="V31:W31"/>
    <mergeCell ref="P31:Q31"/>
    <mergeCell ref="R31:S31"/>
    <mergeCell ref="T31:U31"/>
    <mergeCell ref="W33:X33"/>
    <mergeCell ref="W22:W23"/>
    <mergeCell ref="X22:X23"/>
    <mergeCell ref="R22:R23"/>
    <mergeCell ref="S22:S23"/>
    <mergeCell ref="T22:T23"/>
    <mergeCell ref="U22:U23"/>
    <mergeCell ref="V22:V23"/>
  </mergeCells>
  <printOptions/>
  <pageMargins left="0.7" right="0.7" top="0.75" bottom="0.75" header="0.3" footer="0.3"/>
  <pageSetup fitToHeight="1" fitToWidth="1" orientation="landscape" paperSize="9" scale="4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view="pageBreakPreview" zoomScaleSheetLayoutView="100" zoomScalePageLayoutView="0" workbookViewId="0" topLeftCell="A1">
      <selection activeCell="J26" sqref="J26:M26"/>
    </sheetView>
  </sheetViews>
  <sheetFormatPr defaultColWidth="9.140625" defaultRowHeight="15"/>
  <cols>
    <col min="1" max="1" width="3.57421875" style="1255" bestFit="1" customWidth="1"/>
    <col min="2" max="2" width="33.140625" style="1255" bestFit="1" customWidth="1"/>
    <col min="3" max="7" width="6.8515625" style="1255" bestFit="1" customWidth="1"/>
    <col min="8" max="8" width="7.28125" style="1255" bestFit="1" customWidth="1"/>
    <col min="9" max="14" width="6.8515625" style="1255" bestFit="1" customWidth="1"/>
    <col min="15" max="15" width="7.7109375" style="1255" bestFit="1" customWidth="1"/>
    <col min="16" max="16384" width="9.140625" style="1255" customWidth="1"/>
  </cols>
  <sheetData>
    <row r="2" spans="1:15" ht="12">
      <c r="A2" s="1998" t="s">
        <v>394</v>
      </c>
      <c r="B2" s="1998" t="s">
        <v>1053</v>
      </c>
      <c r="C2" s="1998" t="s">
        <v>1054</v>
      </c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</row>
    <row r="3" spans="1:15" ht="12">
      <c r="A3" s="1998"/>
      <c r="B3" s="1998"/>
      <c r="C3" s="1998" t="s">
        <v>714</v>
      </c>
      <c r="D3" s="1998"/>
      <c r="E3" s="1998"/>
      <c r="F3" s="1998"/>
      <c r="G3" s="1998"/>
      <c r="H3" s="1998"/>
      <c r="I3" s="1998"/>
      <c r="J3" s="1998"/>
      <c r="K3" s="1998"/>
      <c r="L3" s="1998"/>
      <c r="M3" s="1998"/>
      <c r="N3" s="1998"/>
      <c r="O3" s="1998"/>
    </row>
    <row r="4" spans="1:15" ht="12">
      <c r="A4" s="1998"/>
      <c r="B4" s="1998"/>
      <c r="C4" s="1256" t="s">
        <v>12</v>
      </c>
      <c r="D4" s="1256" t="s">
        <v>13</v>
      </c>
      <c r="E4" s="1256" t="s">
        <v>14</v>
      </c>
      <c r="F4" s="1256" t="s">
        <v>15</v>
      </c>
      <c r="G4" s="1256" t="s">
        <v>16</v>
      </c>
      <c r="H4" s="1256" t="s">
        <v>17</v>
      </c>
      <c r="I4" s="1256" t="s">
        <v>18</v>
      </c>
      <c r="J4" s="1256" t="s">
        <v>19</v>
      </c>
      <c r="K4" s="1256" t="s">
        <v>20</v>
      </c>
      <c r="L4" s="1256" t="s">
        <v>21</v>
      </c>
      <c r="M4" s="1256" t="s">
        <v>22</v>
      </c>
      <c r="N4" s="1256" t="s">
        <v>23</v>
      </c>
      <c r="O4" s="1256">
        <v>2022</v>
      </c>
    </row>
    <row r="5" spans="1:15" ht="15">
      <c r="A5" s="1257">
        <v>1</v>
      </c>
      <c r="B5" s="1321" t="s">
        <v>697</v>
      </c>
      <c r="C5" s="1258">
        <v>1768.8852010000003</v>
      </c>
      <c r="D5" s="1258">
        <v>21947.631048000007</v>
      </c>
      <c r="E5" s="1258">
        <v>32655.116727000008</v>
      </c>
      <c r="F5" s="1258">
        <v>32693.135529</v>
      </c>
      <c r="G5" s="1258">
        <v>22751.57372</v>
      </c>
      <c r="H5" s="1258">
        <v>23686.139274000005</v>
      </c>
      <c r="I5" s="1258">
        <v>935.608945</v>
      </c>
      <c r="J5" s="1258">
        <v>422.65520000000004</v>
      </c>
      <c r="K5" s="1258">
        <v>381.145282</v>
      </c>
      <c r="L5" s="1258">
        <v>1875.0255660000007</v>
      </c>
      <c r="M5" s="1258">
        <v>31656.319539</v>
      </c>
      <c r="N5" s="1258">
        <v>20461.427572000004</v>
      </c>
      <c r="O5" s="1259">
        <f>SUM(C5:N5)</f>
        <v>191234.66360300005</v>
      </c>
    </row>
    <row r="6" spans="1:15" ht="15">
      <c r="A6" s="1257">
        <v>2</v>
      </c>
      <c r="B6" s="1321" t="s">
        <v>698</v>
      </c>
      <c r="C6" s="1258">
        <v>0</v>
      </c>
      <c r="D6" s="1258">
        <v>0</v>
      </c>
      <c r="E6" s="1258">
        <v>0</v>
      </c>
      <c r="F6" s="1258">
        <v>0</v>
      </c>
      <c r="G6" s="1258">
        <v>0</v>
      </c>
      <c r="H6" s="1258">
        <v>0</v>
      </c>
      <c r="I6" s="1258">
        <v>0</v>
      </c>
      <c r="J6" s="1258">
        <v>0</v>
      </c>
      <c r="K6" s="1258"/>
      <c r="L6" s="1258">
        <v>0</v>
      </c>
      <c r="M6" s="1258">
        <v>0</v>
      </c>
      <c r="N6" s="1258">
        <v>0</v>
      </c>
      <c r="O6" s="1259">
        <f aca="true" t="shared" si="0" ref="O6:O22">SUM(C6:N6)</f>
        <v>0</v>
      </c>
    </row>
    <row r="7" spans="1:15" ht="15">
      <c r="A7" s="1257">
        <v>3</v>
      </c>
      <c r="B7" s="1321" t="s">
        <v>699</v>
      </c>
      <c r="C7" s="1258">
        <v>7959.537786999999</v>
      </c>
      <c r="D7" s="1258">
        <v>9447.583831</v>
      </c>
      <c r="E7" s="1258">
        <v>10809.007775999999</v>
      </c>
      <c r="F7" s="1258">
        <v>10543.544957000002</v>
      </c>
      <c r="G7" s="1258">
        <v>10497.849381999999</v>
      </c>
      <c r="H7" s="1258">
        <v>9035.600575</v>
      </c>
      <c r="I7" s="1258">
        <v>5747.063749000001</v>
      </c>
      <c r="J7" s="1258">
        <v>8513.901155</v>
      </c>
      <c r="K7" s="1258">
        <v>8298.163778</v>
      </c>
      <c r="L7" s="1258">
        <v>7577.653430999999</v>
      </c>
      <c r="M7" s="1258">
        <v>7555.489601999998</v>
      </c>
      <c r="N7" s="1258">
        <v>7423.609346000001</v>
      </c>
      <c r="O7" s="1259">
        <f t="shared" si="0"/>
        <v>103409.00536899999</v>
      </c>
    </row>
    <row r="8" spans="1:15" ht="15">
      <c r="A8" s="1257">
        <v>4</v>
      </c>
      <c r="B8" s="1321" t="s">
        <v>700</v>
      </c>
      <c r="C8" s="1258">
        <v>0</v>
      </c>
      <c r="D8" s="1258">
        <v>0</v>
      </c>
      <c r="E8" s="1258">
        <v>0</v>
      </c>
      <c r="F8" s="1258">
        <v>4263.724277</v>
      </c>
      <c r="G8" s="1258">
        <v>7057.462050000003</v>
      </c>
      <c r="H8" s="1258">
        <v>3983.0370519999997</v>
      </c>
      <c r="I8" s="1258">
        <v>1425.930935</v>
      </c>
      <c r="J8" s="1258">
        <v>0</v>
      </c>
      <c r="K8" s="1258">
        <v>0</v>
      </c>
      <c r="L8" s="1258">
        <v>408.14778699999994</v>
      </c>
      <c r="M8" s="1258">
        <v>346.6571939999999</v>
      </c>
      <c r="N8" s="1258">
        <v>0</v>
      </c>
      <c r="O8" s="1259">
        <f t="shared" si="0"/>
        <v>17484.959295000004</v>
      </c>
    </row>
    <row r="9" spans="1:15" ht="15">
      <c r="A9" s="1257">
        <v>5</v>
      </c>
      <c r="B9" s="1321" t="s">
        <v>701</v>
      </c>
      <c r="C9" s="1258">
        <v>425.7128890000001</v>
      </c>
      <c r="D9" s="1258">
        <v>1353.2337690000002</v>
      </c>
      <c r="E9" s="1258">
        <v>782.3843650000001</v>
      </c>
      <c r="F9" s="1258">
        <v>1480.774535</v>
      </c>
      <c r="G9" s="1258">
        <v>888.0222560000004</v>
      </c>
      <c r="H9" s="1258">
        <v>1330.233711</v>
      </c>
      <c r="I9" s="1258">
        <v>1004.5918909999999</v>
      </c>
      <c r="J9" s="1258">
        <v>1181.684418</v>
      </c>
      <c r="K9" s="1258">
        <v>2098.1519900000003</v>
      </c>
      <c r="L9" s="1258">
        <v>675.2282710000001</v>
      </c>
      <c r="M9" s="1258">
        <v>2187.1015700000003</v>
      </c>
      <c r="N9" s="1258">
        <v>1810.2686409999997</v>
      </c>
      <c r="O9" s="1259">
        <f t="shared" si="0"/>
        <v>15217.388306</v>
      </c>
    </row>
    <row r="10" spans="1:15" ht="15">
      <c r="A10" s="1257">
        <v>6</v>
      </c>
      <c r="B10" s="1321" t="s">
        <v>702</v>
      </c>
      <c r="C10" s="1258">
        <v>0</v>
      </c>
      <c r="D10" s="1258">
        <v>0</v>
      </c>
      <c r="E10" s="1258">
        <v>0</v>
      </c>
      <c r="F10" s="1258">
        <v>0</v>
      </c>
      <c r="G10" s="1258">
        <v>0</v>
      </c>
      <c r="H10" s="1258">
        <v>0</v>
      </c>
      <c r="I10" s="1258"/>
      <c r="J10" s="1258">
        <v>0</v>
      </c>
      <c r="K10" s="1258">
        <v>0</v>
      </c>
      <c r="L10" s="1258">
        <v>6814.930102000003</v>
      </c>
      <c r="M10" s="1258">
        <v>8593.3411</v>
      </c>
      <c r="N10" s="1258">
        <v>9042.004578999999</v>
      </c>
      <c r="O10" s="1259">
        <f t="shared" si="0"/>
        <v>24450.275781000004</v>
      </c>
    </row>
    <row r="11" spans="1:15" ht="15">
      <c r="A11" s="1257">
        <v>7</v>
      </c>
      <c r="B11" s="1321" t="s">
        <v>638</v>
      </c>
      <c r="C11" s="1258">
        <v>17702.538640999996</v>
      </c>
      <c r="D11" s="1258">
        <v>15919.022493000004</v>
      </c>
      <c r="E11" s="1258">
        <v>16128.017529</v>
      </c>
      <c r="F11" s="1258">
        <v>16517.728884999997</v>
      </c>
      <c r="G11" s="1258">
        <v>17231.948311000004</v>
      </c>
      <c r="H11" s="1258">
        <v>16339.913316</v>
      </c>
      <c r="I11" s="1258">
        <v>17509.146085999997</v>
      </c>
      <c r="J11" s="1258">
        <v>17403.486950000006</v>
      </c>
      <c r="K11" s="1258">
        <v>10794.709525000002</v>
      </c>
      <c r="L11" s="1258">
        <v>2223.594683</v>
      </c>
      <c r="M11" s="1258">
        <v>0</v>
      </c>
      <c r="N11" s="1258">
        <v>0</v>
      </c>
      <c r="O11" s="1259">
        <f t="shared" si="0"/>
        <v>147770.10641900002</v>
      </c>
    </row>
    <row r="12" spans="1:15" ht="15">
      <c r="A12" s="1257">
        <v>8</v>
      </c>
      <c r="B12" s="1321" t="s">
        <v>1050</v>
      </c>
      <c r="C12" s="1258">
        <v>0</v>
      </c>
      <c r="D12" s="1258">
        <v>0</v>
      </c>
      <c r="E12" s="1258">
        <v>0</v>
      </c>
      <c r="F12" s="1260">
        <v>0.2988620000000002</v>
      </c>
      <c r="G12" s="1258">
        <v>509.9799380000001</v>
      </c>
      <c r="H12" s="1258">
        <v>511.1227369999998</v>
      </c>
      <c r="I12" s="1258">
        <v>110.46589499999996</v>
      </c>
      <c r="J12" s="1258">
        <v>474.014794</v>
      </c>
      <c r="K12" s="1258">
        <v>418.09034</v>
      </c>
      <c r="L12" s="1258">
        <v>261.641126</v>
      </c>
      <c r="M12" s="1258">
        <v>38.562465</v>
      </c>
      <c r="N12" s="1258">
        <v>213.19487700000005</v>
      </c>
      <c r="O12" s="1259">
        <f t="shared" si="0"/>
        <v>2537.371034</v>
      </c>
    </row>
    <row r="13" spans="1:15" ht="15">
      <c r="A13" s="1257">
        <v>9</v>
      </c>
      <c r="B13" s="1321" t="s">
        <v>639</v>
      </c>
      <c r="C13" s="1258">
        <v>7188.352091999998</v>
      </c>
      <c r="D13" s="1258">
        <v>5203.381255</v>
      </c>
      <c r="E13" s="1258">
        <v>2147.1942749999994</v>
      </c>
      <c r="F13" s="1258">
        <v>7076.1587549999995</v>
      </c>
      <c r="G13" s="1258">
        <v>7232.276680999999</v>
      </c>
      <c r="H13" s="1258">
        <v>7011.422194</v>
      </c>
      <c r="I13" s="1258">
        <v>7226.272752000001</v>
      </c>
      <c r="J13" s="1258">
        <v>3965.9700320000006</v>
      </c>
      <c r="K13" s="1258">
        <v>20.472173</v>
      </c>
      <c r="L13" s="1258">
        <v>0</v>
      </c>
      <c r="M13" s="1258">
        <v>0.5240640000000001</v>
      </c>
      <c r="N13" s="1258">
        <v>8.336757000000002</v>
      </c>
      <c r="O13" s="1259">
        <f t="shared" si="0"/>
        <v>47080.361029999985</v>
      </c>
    </row>
    <row r="14" spans="1:15" ht="15">
      <c r="A14" s="1257">
        <v>10</v>
      </c>
      <c r="B14" s="1321" t="s">
        <v>640</v>
      </c>
      <c r="C14" s="1258">
        <v>232.72805499999996</v>
      </c>
      <c r="D14" s="1258">
        <v>1412.5558970000002</v>
      </c>
      <c r="E14" s="1258">
        <v>5072.034165</v>
      </c>
      <c r="F14" s="1258">
        <v>7053.869062999999</v>
      </c>
      <c r="G14" s="1258">
        <v>7472.698840999999</v>
      </c>
      <c r="H14" s="1258">
        <v>7288.198434000002</v>
      </c>
      <c r="I14" s="1258">
        <v>7661.875984000001</v>
      </c>
      <c r="J14" s="1258">
        <v>7549.134030000002</v>
      </c>
      <c r="K14" s="1258">
        <v>6913.467185999999</v>
      </c>
      <c r="L14" s="1258">
        <v>115.86715399999997</v>
      </c>
      <c r="M14" s="1258">
        <v>115.64576700000003</v>
      </c>
      <c r="N14" s="1258">
        <v>123.69699599999998</v>
      </c>
      <c r="O14" s="1259">
        <f t="shared" si="0"/>
        <v>51011.771572000005</v>
      </c>
    </row>
    <row r="15" spans="1:15" ht="15">
      <c r="A15" s="1257">
        <v>11</v>
      </c>
      <c r="B15" s="1321" t="s">
        <v>703</v>
      </c>
      <c r="C15" s="1258">
        <v>3.190512</v>
      </c>
      <c r="D15" s="1258">
        <v>1.814176</v>
      </c>
      <c r="E15" s="1258">
        <v>2.891933</v>
      </c>
      <c r="F15" s="1258">
        <v>0.9336999999999998</v>
      </c>
      <c r="G15" s="1260">
        <v>1.1632589999999998</v>
      </c>
      <c r="H15" s="1258">
        <v>4.247324000000001</v>
      </c>
      <c r="I15" s="1261">
        <v>0.22593200000000002</v>
      </c>
      <c r="J15" s="1261">
        <v>0.419129</v>
      </c>
      <c r="K15" s="1258">
        <v>0.19585800000000003</v>
      </c>
      <c r="L15" s="1258">
        <v>0.152215</v>
      </c>
      <c r="M15" s="1258">
        <v>0.45851000000000003</v>
      </c>
      <c r="N15" s="1258">
        <v>1.9239920000000001</v>
      </c>
      <c r="O15" s="1259">
        <f t="shared" si="0"/>
        <v>17.61654</v>
      </c>
    </row>
    <row r="16" spans="1:15" ht="15">
      <c r="A16" s="1257">
        <v>12</v>
      </c>
      <c r="B16" s="1321" t="s">
        <v>704</v>
      </c>
      <c r="C16" s="1258">
        <v>8.931784999999998</v>
      </c>
      <c r="D16" s="1258">
        <v>7.159126999999999</v>
      </c>
      <c r="E16" s="1258">
        <v>28.88734</v>
      </c>
      <c r="F16" s="1260">
        <v>0.5710759999999999</v>
      </c>
      <c r="G16" s="1258">
        <v>17.189756</v>
      </c>
      <c r="H16" s="1258">
        <v>29.764073999999994</v>
      </c>
      <c r="I16" s="1258">
        <v>30.637263999999988</v>
      </c>
      <c r="J16" s="1258">
        <v>25.563777999999996</v>
      </c>
      <c r="K16" s="1258">
        <v>19.681979999999996</v>
      </c>
      <c r="L16" s="1258">
        <v>14.288780999999998</v>
      </c>
      <c r="M16" s="1258">
        <v>16.094309000000003</v>
      </c>
      <c r="N16" s="1258">
        <v>2.357755</v>
      </c>
      <c r="O16" s="1259">
        <f t="shared" si="0"/>
        <v>201.12702499999997</v>
      </c>
    </row>
    <row r="17" spans="1:15" ht="15">
      <c r="A17" s="1257">
        <v>13</v>
      </c>
      <c r="B17" s="1321" t="s">
        <v>705</v>
      </c>
      <c r="C17" s="1258">
        <v>327.963352</v>
      </c>
      <c r="D17" s="1258">
        <v>472.10052599999995</v>
      </c>
      <c r="E17" s="1258">
        <v>183.98332099999996</v>
      </c>
      <c r="F17" s="1260">
        <v>12.570218</v>
      </c>
      <c r="G17" s="1258">
        <v>161.758067</v>
      </c>
      <c r="H17" s="1258">
        <v>387.698996</v>
      </c>
      <c r="I17" s="1258">
        <v>597.4020289999997</v>
      </c>
      <c r="J17" s="1258">
        <v>665.0099180000002</v>
      </c>
      <c r="K17" s="1258">
        <v>382.93142299999994</v>
      </c>
      <c r="L17" s="1258">
        <v>123.52136900000016</v>
      </c>
      <c r="M17" s="1258">
        <v>177.40950200000003</v>
      </c>
      <c r="N17" s="1258">
        <v>9.032741</v>
      </c>
      <c r="O17" s="1259">
        <f t="shared" si="0"/>
        <v>3501.381462</v>
      </c>
    </row>
    <row r="18" spans="1:15" ht="15">
      <c r="A18" s="1257">
        <v>14</v>
      </c>
      <c r="B18" s="1321" t="s">
        <v>706</v>
      </c>
      <c r="C18" s="1260">
        <v>0.08795</v>
      </c>
      <c r="D18" s="1258">
        <v>0</v>
      </c>
      <c r="E18" s="1262">
        <v>0</v>
      </c>
      <c r="F18" s="1260">
        <v>0.009890000000000001</v>
      </c>
      <c r="G18" s="1258">
        <v>0</v>
      </c>
      <c r="H18" s="1258">
        <v>0.6364519999999998</v>
      </c>
      <c r="I18" s="1261">
        <v>0.133722</v>
      </c>
      <c r="J18" s="1260">
        <v>0.072161</v>
      </c>
      <c r="K18" s="1258">
        <v>0.015435000000000003</v>
      </c>
      <c r="L18" s="1258">
        <v>0</v>
      </c>
      <c r="M18" s="1258">
        <v>5.512460000000001</v>
      </c>
      <c r="N18" s="1258">
        <v>0.063955</v>
      </c>
      <c r="O18" s="1259">
        <f t="shared" si="0"/>
        <v>6.532025000000001</v>
      </c>
    </row>
    <row r="19" spans="1:15" ht="15">
      <c r="A19" s="1257">
        <v>15</v>
      </c>
      <c r="B19" s="1321" t="s">
        <v>707</v>
      </c>
      <c r="C19" s="1258">
        <v>14.368785</v>
      </c>
      <c r="D19" s="1258">
        <v>17.10744000000001</v>
      </c>
      <c r="E19" s="1258">
        <v>19.412779000000015</v>
      </c>
      <c r="F19" s="1258">
        <v>15.503543000000006</v>
      </c>
      <c r="G19" s="1258">
        <v>16.584555000000005</v>
      </c>
      <c r="H19" s="1258">
        <v>22.740609000000006</v>
      </c>
      <c r="I19" s="1258">
        <v>21.975164999999997</v>
      </c>
      <c r="J19" s="1258">
        <v>21.92014</v>
      </c>
      <c r="K19" s="1258">
        <v>20.429706000000003</v>
      </c>
      <c r="L19" s="1258">
        <v>22.688359999999967</v>
      </c>
      <c r="M19" s="1258">
        <v>20.438067999999998</v>
      </c>
      <c r="N19" s="1258">
        <v>15.342505999999997</v>
      </c>
      <c r="O19" s="1259">
        <f t="shared" si="0"/>
        <v>228.511656</v>
      </c>
    </row>
    <row r="20" spans="1:15" ht="15">
      <c r="A20" s="1257">
        <v>16</v>
      </c>
      <c r="B20" s="1321" t="s">
        <v>708</v>
      </c>
      <c r="C20" s="1258">
        <v>31.92083699999999</v>
      </c>
      <c r="D20" s="1258">
        <v>23.704341</v>
      </c>
      <c r="E20" s="1258">
        <v>38.893636</v>
      </c>
      <c r="F20" s="1258">
        <v>16.325263</v>
      </c>
      <c r="G20" s="1258">
        <v>24.859263000000002</v>
      </c>
      <c r="H20" s="1258">
        <v>25.110578000000004</v>
      </c>
      <c r="I20" s="1258">
        <v>19.523972</v>
      </c>
      <c r="J20" s="1258">
        <v>22.309284</v>
      </c>
      <c r="K20" s="1258">
        <v>21.358267</v>
      </c>
      <c r="L20" s="1258">
        <v>28.871896999999983</v>
      </c>
      <c r="M20" s="1258">
        <v>9.500860000000003</v>
      </c>
      <c r="N20" s="1258">
        <v>5.452610999999999</v>
      </c>
      <c r="O20" s="1259">
        <f t="shared" si="0"/>
        <v>267.830809</v>
      </c>
    </row>
    <row r="21" spans="1:15" ht="15">
      <c r="A21" s="1257">
        <v>17</v>
      </c>
      <c r="B21" s="1321" t="s">
        <v>1248</v>
      </c>
      <c r="C21" s="1260">
        <v>0.12860829999999998</v>
      </c>
      <c r="D21" s="1258">
        <v>16.070662259999995</v>
      </c>
      <c r="E21" s="1258">
        <v>10.23313162</v>
      </c>
      <c r="F21" s="1260">
        <v>3.0650862100000005</v>
      </c>
      <c r="G21" s="1263">
        <v>0.16936569000000012</v>
      </c>
      <c r="H21" s="1258">
        <v>16.87010695</v>
      </c>
      <c r="I21" s="1258">
        <v>21.211762819999997</v>
      </c>
      <c r="J21" s="1258">
        <v>35.08982383999999</v>
      </c>
      <c r="K21" s="1258">
        <v>36.28204890000001</v>
      </c>
      <c r="L21" s="1258">
        <v>31.77745322</v>
      </c>
      <c r="M21" s="1258">
        <v>23.312398139999996</v>
      </c>
      <c r="N21" s="1258">
        <v>2.8781568799999997</v>
      </c>
      <c r="O21" s="1259">
        <f t="shared" si="0"/>
        <v>197.08860483</v>
      </c>
    </row>
    <row r="22" spans="1:15" ht="15">
      <c r="A22" s="1257">
        <v>18</v>
      </c>
      <c r="B22" s="1318" t="s">
        <v>709</v>
      </c>
      <c r="C22" s="1319">
        <v>70.60197099999999</v>
      </c>
      <c r="D22" s="1319">
        <v>61.030153</v>
      </c>
      <c r="E22" s="1319">
        <v>66.02958599999998</v>
      </c>
      <c r="F22" s="1319">
        <v>15.059512</v>
      </c>
      <c r="G22" s="1319">
        <v>0</v>
      </c>
      <c r="H22" s="1319">
        <v>0</v>
      </c>
      <c r="I22" s="1319">
        <v>0</v>
      </c>
      <c r="J22" s="1319">
        <v>0</v>
      </c>
      <c r="K22" s="1319">
        <v>0</v>
      </c>
      <c r="L22" s="1319">
        <v>0</v>
      </c>
      <c r="M22" s="1319">
        <v>0</v>
      </c>
      <c r="N22" s="1319">
        <v>0</v>
      </c>
      <c r="O22" s="1320">
        <f t="shared" si="0"/>
        <v>212.72122199999998</v>
      </c>
    </row>
    <row r="23" spans="1:15" ht="15">
      <c r="A23" s="1257">
        <v>19</v>
      </c>
      <c r="B23" s="1321" t="s">
        <v>710</v>
      </c>
      <c r="C23" s="1258">
        <v>7246.980983999998</v>
      </c>
      <c r="D23" s="1258">
        <v>6544.708309</v>
      </c>
      <c r="E23" s="1258">
        <v>7348.9874070000005</v>
      </c>
      <c r="F23" s="1258">
        <v>6911.810811</v>
      </c>
      <c r="G23" s="1258">
        <v>12479.991303000003</v>
      </c>
      <c r="H23" s="1258">
        <v>11404.729865</v>
      </c>
      <c r="I23" s="1258">
        <v>12613.630541999999</v>
      </c>
      <c r="J23" s="1258">
        <v>8572.791985</v>
      </c>
      <c r="K23" s="1258">
        <v>955.425715</v>
      </c>
      <c r="L23" s="1258">
        <v>47.61053699999997</v>
      </c>
      <c r="M23" s="1258">
        <v>45.67679700000001</v>
      </c>
      <c r="N23" s="1258">
        <v>54.301215</v>
      </c>
      <c r="O23" s="1259">
        <f>SUM(C23:N23)</f>
        <v>74226.64547</v>
      </c>
    </row>
    <row r="24" spans="1:15" ht="15">
      <c r="A24" s="1257"/>
      <c r="B24" s="1264"/>
      <c r="C24" s="1265">
        <f aca="true" t="shared" si="1" ref="C24:N24">SUM(C5:C23)</f>
        <v>42981.92944929999</v>
      </c>
      <c r="D24" s="1265">
        <f t="shared" si="1"/>
        <v>62427.103027260004</v>
      </c>
      <c r="E24" s="1265">
        <f t="shared" si="1"/>
        <v>75293.07397062003</v>
      </c>
      <c r="F24" s="1265">
        <f t="shared" si="1"/>
        <v>86605.08396221</v>
      </c>
      <c r="G24" s="1265">
        <f t="shared" si="1"/>
        <v>86343.52674769002</v>
      </c>
      <c r="H24" s="1265">
        <f t="shared" si="1"/>
        <v>81077.46529795002</v>
      </c>
      <c r="I24" s="1265">
        <f t="shared" si="1"/>
        <v>54925.69662582</v>
      </c>
      <c r="J24" s="1265">
        <f t="shared" si="1"/>
        <v>48854.02279784001</v>
      </c>
      <c r="K24" s="1265">
        <f t="shared" si="1"/>
        <v>30360.5207069</v>
      </c>
      <c r="L24" s="1265">
        <f t="shared" si="1"/>
        <v>20220.99873222</v>
      </c>
      <c r="M24" s="1265">
        <f t="shared" si="1"/>
        <v>50792.044205139995</v>
      </c>
      <c r="N24" s="1265">
        <f t="shared" si="1"/>
        <v>39173.89169987999</v>
      </c>
      <c r="O24" s="1265">
        <f>SUM(C24:N24)</f>
        <v>679055.3572228302</v>
      </c>
    </row>
    <row r="26" spans="10:13" ht="12">
      <c r="J26" s="1997" t="s">
        <v>1055</v>
      </c>
      <c r="K26" s="1997"/>
      <c r="L26" s="1997"/>
      <c r="M26" s="1997"/>
    </row>
  </sheetData>
  <sheetProtection/>
  <mergeCells count="5">
    <mergeCell ref="J26:M26"/>
    <mergeCell ref="C3:O3"/>
    <mergeCell ref="C2:O2"/>
    <mergeCell ref="A2:A4"/>
    <mergeCell ref="B2:B4"/>
  </mergeCells>
  <printOptions/>
  <pageMargins left="0.25" right="0.25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view="pageBreakPreview" zoomScale="85" zoomScaleSheetLayoutView="85" zoomScalePageLayoutView="0" workbookViewId="0" topLeftCell="A28">
      <selection activeCell="M68" sqref="M68"/>
    </sheetView>
  </sheetViews>
  <sheetFormatPr defaultColWidth="9.140625" defaultRowHeight="15"/>
  <cols>
    <col min="1" max="1" width="4.8515625" style="867" customWidth="1"/>
    <col min="2" max="2" width="9.421875" style="770" bestFit="1" customWidth="1"/>
    <col min="3" max="3" width="80.421875" style="770" customWidth="1"/>
    <col min="4" max="4" width="17.57421875" style="868" bestFit="1" customWidth="1"/>
    <col min="5" max="5" width="10.57421875" style="868" bestFit="1" customWidth="1"/>
    <col min="6" max="9" width="10.57421875" style="819" bestFit="1" customWidth="1"/>
    <col min="10" max="10" width="10.7109375" style="819" bestFit="1" customWidth="1"/>
    <col min="11" max="16" width="10.57421875" style="819" bestFit="1" customWidth="1"/>
    <col min="17" max="17" width="12.8515625" style="819" bestFit="1" customWidth="1"/>
    <col min="18" max="18" width="20.421875" style="770" bestFit="1" customWidth="1"/>
    <col min="19" max="19" width="13.8515625" style="770" customWidth="1"/>
    <col min="20" max="16384" width="9.140625" style="770" customWidth="1"/>
  </cols>
  <sheetData>
    <row r="1" spans="1:17" ht="15.75" thickBot="1">
      <c r="A1" s="1678" t="s">
        <v>1197</v>
      </c>
      <c r="B1" s="1679"/>
      <c r="C1" s="1679"/>
      <c r="D1" s="1680"/>
      <c r="E1" s="766" t="s">
        <v>12</v>
      </c>
      <c r="F1" s="767" t="s">
        <v>13</v>
      </c>
      <c r="G1" s="767" t="s">
        <v>14</v>
      </c>
      <c r="H1" s="767" t="s">
        <v>15</v>
      </c>
      <c r="I1" s="767" t="s">
        <v>16</v>
      </c>
      <c r="J1" s="767" t="s">
        <v>17</v>
      </c>
      <c r="K1" s="767" t="s">
        <v>18</v>
      </c>
      <c r="L1" s="767" t="s">
        <v>19</v>
      </c>
      <c r="M1" s="767" t="s">
        <v>20</v>
      </c>
      <c r="N1" s="767" t="s">
        <v>21</v>
      </c>
      <c r="O1" s="768" t="s">
        <v>22</v>
      </c>
      <c r="P1" s="767" t="s">
        <v>23</v>
      </c>
      <c r="Q1" s="769" t="s">
        <v>1198</v>
      </c>
    </row>
    <row r="2" spans="1:19" s="775" customFormat="1" ht="18">
      <c r="A2" s="771" t="s">
        <v>868</v>
      </c>
      <c r="B2" s="1681" t="s">
        <v>1072</v>
      </c>
      <c r="C2" s="1682"/>
      <c r="D2" s="772" t="s">
        <v>869</v>
      </c>
      <c r="E2" s="773">
        <f>E3+E12-E10</f>
        <v>774084.11909267</v>
      </c>
      <c r="F2" s="773">
        <f>F3+F12-F10</f>
        <v>656455.82882477</v>
      </c>
      <c r="G2" s="773">
        <f aca="true" t="shared" si="0" ref="G2:P2">G3+G12-G10</f>
        <v>698991.32522112</v>
      </c>
      <c r="H2" s="773">
        <f t="shared" si="0"/>
        <v>556262.6627780902</v>
      </c>
      <c r="I2" s="773">
        <f t="shared" si="0"/>
        <v>504224.43365456007</v>
      </c>
      <c r="J2" s="773">
        <f t="shared" si="0"/>
        <v>525508.84969803</v>
      </c>
      <c r="K2" s="773">
        <f t="shared" si="0"/>
        <v>591874.6604925299</v>
      </c>
      <c r="L2" s="773">
        <f t="shared" si="0"/>
        <v>587526.99885867</v>
      </c>
      <c r="M2" s="773">
        <f t="shared" si="0"/>
        <v>481886.32101834996</v>
      </c>
      <c r="N2" s="773">
        <f t="shared" si="0"/>
        <v>480961.21493126</v>
      </c>
      <c r="O2" s="773">
        <f t="shared" si="0"/>
        <v>536263.2373268701</v>
      </c>
      <c r="P2" s="773">
        <f t="shared" si="0"/>
        <v>650564.1401926901</v>
      </c>
      <c r="Q2" s="773">
        <f>Q3+Q12-Q10</f>
        <v>7044603.792089611</v>
      </c>
      <c r="S2" s="774"/>
    </row>
    <row r="3" spans="1:19" s="781" customFormat="1" ht="15">
      <c r="A3" s="776" t="s">
        <v>870</v>
      </c>
      <c r="B3" s="1683" t="s">
        <v>871</v>
      </c>
      <c r="C3" s="1684"/>
      <c r="D3" s="777" t="s">
        <v>1199</v>
      </c>
      <c r="E3" s="778">
        <f aca="true" t="shared" si="1" ref="E3:P3">SUM(E4:E9)</f>
        <v>686068.58503355</v>
      </c>
      <c r="F3" s="778">
        <f t="shared" si="1"/>
        <v>577270.7124068401</v>
      </c>
      <c r="G3" s="779">
        <f t="shared" si="1"/>
        <v>618613.3907242101</v>
      </c>
      <c r="H3" s="779">
        <f t="shared" si="1"/>
        <v>393519.91882579005</v>
      </c>
      <c r="I3" s="779">
        <f t="shared" si="1"/>
        <v>398539.88506497006</v>
      </c>
      <c r="J3" s="779">
        <f t="shared" si="1"/>
        <v>482045.42196368007</v>
      </c>
      <c r="K3" s="779">
        <f t="shared" si="1"/>
        <v>569376.4101399198</v>
      </c>
      <c r="L3" s="779">
        <f t="shared" si="1"/>
        <v>563290.40268911</v>
      </c>
      <c r="M3" s="779">
        <f t="shared" si="1"/>
        <v>455315.54742738995</v>
      </c>
      <c r="N3" s="779">
        <f>SUM(N4:N9)</f>
        <v>444055.77793638</v>
      </c>
      <c r="O3" s="779">
        <f t="shared" si="1"/>
        <v>472350.85840494</v>
      </c>
      <c r="P3" s="779">
        <f t="shared" si="1"/>
        <v>530742.54181186</v>
      </c>
      <c r="Q3" s="780">
        <f>SUM(E3:P3)</f>
        <v>6191189.452428641</v>
      </c>
      <c r="S3" s="774"/>
    </row>
    <row r="4" spans="1:19" ht="14.25">
      <c r="A4" s="782" t="s">
        <v>872</v>
      </c>
      <c r="B4" s="783"/>
      <c r="C4" s="784" t="s">
        <v>873</v>
      </c>
      <c r="D4" s="785"/>
      <c r="E4" s="778">
        <f>'[1]Shperndarja'!D16</f>
        <v>530367.7942185501</v>
      </c>
      <c r="F4" s="778">
        <f>'[1]Shperndarja'!E16</f>
        <v>477681.98263384</v>
      </c>
      <c r="G4" s="779">
        <f>'[1]Shperndarja'!F16</f>
        <v>525853.40814721</v>
      </c>
      <c r="H4" s="779">
        <f>'[1]Shperndarja'!G16</f>
        <v>189875.9545487901</v>
      </c>
      <c r="I4" s="779">
        <f>'[1]Shperndarja'!H16</f>
        <v>251703.01325797004</v>
      </c>
      <c r="J4" s="779">
        <f>'[1]Shperndarja'!I16</f>
        <v>416847.32644068</v>
      </c>
      <c r="K4" s="779">
        <f>'[1]Shperndarja'!J16</f>
        <v>530333.5139839199</v>
      </c>
      <c r="L4" s="779">
        <f>'[1]Shperndarja'!K16</f>
        <v>528171.9579220777</v>
      </c>
      <c r="M4" s="779">
        <f>'[1]Shperndarja'!L16</f>
        <v>400758.3817403899</v>
      </c>
      <c r="N4" s="779">
        <f>'[1]Shperndarja'!M16</f>
        <v>379775.79552438</v>
      </c>
      <c r="O4" s="779">
        <f>'[1]Shperndarja'!N16</f>
        <v>371622.63955394</v>
      </c>
      <c r="P4" s="779">
        <f>'[1]Shperndarja'!O16</f>
        <v>348434.50501186005</v>
      </c>
      <c r="Q4" s="786">
        <f>SUM(E4:P4)</f>
        <v>4951426.272983608</v>
      </c>
      <c r="R4" s="787"/>
      <c r="S4" s="774"/>
    </row>
    <row r="5" spans="1:19" ht="14.25">
      <c r="A5" s="782" t="s">
        <v>874</v>
      </c>
      <c r="B5" s="783"/>
      <c r="C5" s="784" t="s">
        <v>875</v>
      </c>
      <c r="D5" s="788"/>
      <c r="E5" s="778">
        <f>'[1]Shperndarja'!D14</f>
        <v>43344</v>
      </c>
      <c r="F5" s="778">
        <f>'[1]Shperndarja'!E14</f>
        <v>4032</v>
      </c>
      <c r="G5" s="779">
        <f>'[1]Shperndarja'!F14</f>
        <v>4458</v>
      </c>
      <c r="H5" s="779">
        <f>'[1]Shperndarja'!G14</f>
        <v>4320</v>
      </c>
      <c r="I5" s="779">
        <f>'[1]Shperndarja'!H14</f>
        <v>4464</v>
      </c>
      <c r="J5" s="779">
        <f>'[1]Shperndarja'!I14</f>
        <v>4320</v>
      </c>
      <c r="K5" s="779">
        <f>'[1]Shperndarja'!J14</f>
        <v>4464</v>
      </c>
      <c r="L5" s="779">
        <f>'[1]Shperndarja'!K14</f>
        <v>4464</v>
      </c>
      <c r="M5" s="779">
        <f>'[1]Shperndarja'!L14</f>
        <v>4320</v>
      </c>
      <c r="N5" s="779">
        <f>'[1]Shperndarja'!M14</f>
        <v>4470</v>
      </c>
      <c r="O5" s="779">
        <f>'[1]Shperndarja'!N14</f>
        <v>4320</v>
      </c>
      <c r="P5" s="779">
        <f>'[1]Shperndarja'!O14</f>
        <v>4464</v>
      </c>
      <c r="Q5" s="786">
        <f>SUM(E5:P5)</f>
        <v>91440</v>
      </c>
      <c r="R5" s="787"/>
      <c r="S5" s="774"/>
    </row>
    <row r="6" spans="1:19" ht="14.25">
      <c r="A6" s="782" t="s">
        <v>876</v>
      </c>
      <c r="B6" s="783"/>
      <c r="C6" s="784" t="s">
        <v>1015</v>
      </c>
      <c r="D6" s="788"/>
      <c r="E6" s="778">
        <f>'[1]Shperndarja'!D6</f>
        <v>2478.3376000000003</v>
      </c>
      <c r="F6" s="778">
        <f>'[1]Shperndarja'!E6</f>
        <v>1681.9479</v>
      </c>
      <c r="G6" s="779">
        <f>'[1]Shperndarja'!F6</f>
        <v>2074.377</v>
      </c>
      <c r="H6" s="779">
        <f>'[1]Shperndarja'!G6</f>
        <v>1950.6516000000001</v>
      </c>
      <c r="I6" s="779">
        <f>'[1]Shperndarja'!H6</f>
        <v>2312.2702999999997</v>
      </c>
      <c r="J6" s="779">
        <f>'[1]Shperndarja'!I6</f>
        <v>1905.2686999999999</v>
      </c>
      <c r="K6" s="779">
        <f>'[1]Shperndarja'!J6</f>
        <v>1409.0666</v>
      </c>
      <c r="L6" s="779">
        <f>'[1]Shperndarja'!K6</f>
        <v>1427.200929032258</v>
      </c>
      <c r="M6" s="779">
        <f>'[1]Shperndarja'!L6</f>
        <v>994.6758000000001</v>
      </c>
      <c r="N6" s="779">
        <f>'[1]Shperndarja'!M6</f>
        <v>843.23</v>
      </c>
      <c r="O6" s="779">
        <f>'[1]Shperndarja'!N6</f>
        <v>619.623</v>
      </c>
      <c r="P6" s="779">
        <f>'[1]Shperndarja'!O6</f>
        <v>510.767</v>
      </c>
      <c r="Q6" s="786">
        <f>SUM(E6:P6)</f>
        <v>18207.41642903226</v>
      </c>
      <c r="R6" s="787"/>
      <c r="S6" s="774"/>
    </row>
    <row r="7" spans="1:19" ht="14.25">
      <c r="A7" s="782" t="s">
        <v>877</v>
      </c>
      <c r="B7" s="783"/>
      <c r="C7" s="784" t="s">
        <v>1016</v>
      </c>
      <c r="D7" s="785"/>
      <c r="E7" s="789">
        <f>'[1]Shperndarja'!D12+'[1]Shperndarja'!D13</f>
        <v>109878.45321500002</v>
      </c>
      <c r="F7" s="789">
        <f>'[1]Shperndarja'!E12+'[1]Shperndarja'!E13</f>
        <v>93874.781873</v>
      </c>
      <c r="G7" s="790">
        <f>'[1]Shperndarja'!F12+'[1]Shperndarja'!F13</f>
        <v>86227.60557700001</v>
      </c>
      <c r="H7" s="790">
        <f>'[1]Shperndarja'!G12+'[1]Shperndarja'!G13</f>
        <v>197373.31267699998</v>
      </c>
      <c r="I7" s="790">
        <f>'[1]Shperndarja'!H12+'[1]Shperndarja'!H13</f>
        <v>140060.601507</v>
      </c>
      <c r="J7" s="790">
        <f>'[1]Shperndarja'!I12+'[1]Shperndarja'!I13</f>
        <v>58972.82682300001</v>
      </c>
      <c r="K7" s="790">
        <f>'[1]Shperndarja'!J12+'[1]Shperndarja'!J13</f>
        <v>33169.829556000004</v>
      </c>
      <c r="L7" s="790">
        <f>'[1]Shperndarja'!K12+'[1]Shperndarja'!K13</f>
        <v>29227.243837999995</v>
      </c>
      <c r="M7" s="790">
        <f>'[1]Shperndarja'!L12+'[1]Shperndarja'!L13</f>
        <v>49242.48988699999</v>
      </c>
      <c r="N7" s="790">
        <f>'[1]Shperndarja'!M12+'[1]Shperndarja'!M13</f>
        <v>58966.752412</v>
      </c>
      <c r="O7" s="790">
        <f>'[1]Shperndarja'!N12+'[1]Shperndarja'!N13</f>
        <v>95788.59585099999</v>
      </c>
      <c r="P7" s="790">
        <f>'[1]Shperndarja'!O12+'[1]Shperndarja'!O13</f>
        <v>177333.26979999998</v>
      </c>
      <c r="Q7" s="791">
        <f>SUM(E7:P7)</f>
        <v>1130115.7630159997</v>
      </c>
      <c r="R7" s="787"/>
      <c r="S7" s="774"/>
    </row>
    <row r="8" spans="1:19" ht="14.25">
      <c r="A8" s="782" t="s">
        <v>878</v>
      </c>
      <c r="B8" s="783"/>
      <c r="C8" s="784" t="s">
        <v>879</v>
      </c>
      <c r="D8" s="785"/>
      <c r="E8" s="792" t="s">
        <v>880</v>
      </c>
      <c r="F8" s="792" t="s">
        <v>880</v>
      </c>
      <c r="G8" s="793" t="s">
        <v>880</v>
      </c>
      <c r="H8" s="793" t="s">
        <v>880</v>
      </c>
      <c r="I8" s="793" t="s">
        <v>880</v>
      </c>
      <c r="J8" s="793" t="s">
        <v>880</v>
      </c>
      <c r="K8" s="793" t="s">
        <v>880</v>
      </c>
      <c r="L8" s="793" t="s">
        <v>880</v>
      </c>
      <c r="M8" s="793" t="s">
        <v>880</v>
      </c>
      <c r="N8" s="793" t="s">
        <v>880</v>
      </c>
      <c r="O8" s="793" t="s">
        <v>880</v>
      </c>
      <c r="P8" s="793" t="s">
        <v>880</v>
      </c>
      <c r="Q8" s="794" t="s">
        <v>880</v>
      </c>
      <c r="S8" s="774"/>
    </row>
    <row r="9" spans="1:19" ht="14.25">
      <c r="A9" s="782" t="s">
        <v>881</v>
      </c>
      <c r="B9" s="783"/>
      <c r="C9" s="784" t="s">
        <v>882</v>
      </c>
      <c r="D9" s="785"/>
      <c r="E9" s="792" t="s">
        <v>880</v>
      </c>
      <c r="F9" s="792" t="s">
        <v>880</v>
      </c>
      <c r="G9" s="793" t="s">
        <v>880</v>
      </c>
      <c r="H9" s="793" t="s">
        <v>880</v>
      </c>
      <c r="I9" s="793" t="s">
        <v>880</v>
      </c>
      <c r="J9" s="793" t="s">
        <v>880</v>
      </c>
      <c r="K9" s="793" t="s">
        <v>880</v>
      </c>
      <c r="L9" s="793" t="s">
        <v>880</v>
      </c>
      <c r="M9" s="793" t="s">
        <v>880</v>
      </c>
      <c r="N9" s="793" t="s">
        <v>880</v>
      </c>
      <c r="O9" s="793" t="s">
        <v>880</v>
      </c>
      <c r="P9" s="793" t="s">
        <v>880</v>
      </c>
      <c r="Q9" s="794" t="s">
        <v>880</v>
      </c>
      <c r="S9" s="774"/>
    </row>
    <row r="10" spans="1:19" ht="14.25">
      <c r="A10" s="782" t="s">
        <v>883</v>
      </c>
      <c r="B10" s="783"/>
      <c r="C10" s="784" t="s">
        <v>884</v>
      </c>
      <c r="D10" s="785"/>
      <c r="E10" s="792">
        <f>'[1]Shperndarja'!E15</f>
        <v>0</v>
      </c>
      <c r="F10" s="792">
        <f>'[1]Shperndarja'!F15</f>
        <v>0</v>
      </c>
      <c r="G10" s="793">
        <f>'[1]Shperndarja'!F15</f>
        <v>0</v>
      </c>
      <c r="H10" s="793">
        <f>'[1]Shperndarja'!G15</f>
        <v>0</v>
      </c>
      <c r="I10" s="793">
        <f>'[1]Shperndarja'!H15</f>
        <v>0</v>
      </c>
      <c r="J10" s="793">
        <f>'[1]Shperndarja'!I15</f>
        <v>0</v>
      </c>
      <c r="K10" s="793">
        <f>'[1]Shperndarja'!J15</f>
        <v>0</v>
      </c>
      <c r="L10" s="793">
        <f>'[1]Shperndarja'!K15</f>
        <v>0</v>
      </c>
      <c r="M10" s="793">
        <f>'[1]Shperndarja'!L15</f>
        <v>0</v>
      </c>
      <c r="N10" s="793">
        <f>'[1]Shperndarja'!M15</f>
        <v>0</v>
      </c>
      <c r="O10" s="793">
        <f>'[1]Shperndarja'!N15</f>
        <v>0</v>
      </c>
      <c r="P10" s="793">
        <f>'[1]Shperndarja'!O15</f>
        <v>0</v>
      </c>
      <c r="Q10" s="794">
        <f>SUM(E10:P10)</f>
        <v>0</v>
      </c>
      <c r="S10" s="774"/>
    </row>
    <row r="11" spans="1:19" ht="14.25">
      <c r="A11" s="782" t="s">
        <v>885</v>
      </c>
      <c r="B11" s="1683" t="s">
        <v>886</v>
      </c>
      <c r="C11" s="1684"/>
      <c r="D11" s="785" t="s">
        <v>885</v>
      </c>
      <c r="E11" s="792">
        <f>'[1]Bilanci i Energjise '!C7</f>
        <v>29707.27116000001</v>
      </c>
      <c r="F11" s="792">
        <f>'[1]Bilanci i Energjise '!D7</f>
        <v>29381.900073</v>
      </c>
      <c r="G11" s="793">
        <f>'[1]Bilanci i Energjise '!E7</f>
        <v>26664.369933999995</v>
      </c>
      <c r="H11" s="793">
        <f>'[1]Bilanci i Energjise '!F7</f>
        <v>96219.34161699998</v>
      </c>
      <c r="I11" s="793">
        <f>'[1]Bilanci i Energjise '!G7</f>
        <v>52872.490207999996</v>
      </c>
      <c r="J11" s="793">
        <f>'[1]Bilanci i Energjise '!H7</f>
        <v>10145.751593</v>
      </c>
      <c r="K11" s="793">
        <f>'[1]Bilanci i Energjise '!I7</f>
        <v>1653.945564</v>
      </c>
      <c r="L11" s="793">
        <f>'[1]Bilanci i Energjise '!J7</f>
        <v>1181.5771190000003</v>
      </c>
      <c r="M11" s="793">
        <f>'[1]Bilanci i Energjise '!K7</f>
        <v>5874.850764000001</v>
      </c>
      <c r="N11" s="793">
        <f>'[1]Bilanci i Energjise '!L7</f>
        <v>10195.574213</v>
      </c>
      <c r="O11" s="793">
        <f>'[1]Bilanci i Energjise '!M7</f>
        <v>28451.327997</v>
      </c>
      <c r="P11" s="793">
        <f>'[1]Bilanci i Energjise '!N7</f>
        <v>62030.510168</v>
      </c>
      <c r="Q11" s="791">
        <f>SUM(E11:P11)</f>
        <v>354378.91041</v>
      </c>
      <c r="S11" s="774"/>
    </row>
    <row r="12" spans="1:19" s="781" customFormat="1" ht="15">
      <c r="A12" s="776" t="s">
        <v>887</v>
      </c>
      <c r="B12" s="1683" t="s">
        <v>888</v>
      </c>
      <c r="C12" s="1684"/>
      <c r="D12" s="777" t="s">
        <v>1200</v>
      </c>
      <c r="E12" s="795">
        <f>SUM(E13:E15)</f>
        <v>88015.53405912</v>
      </c>
      <c r="F12" s="795">
        <f aca="true" t="shared" si="2" ref="F12:P12">SUM(F13:F15)</f>
        <v>79185.11641792998</v>
      </c>
      <c r="G12" s="796">
        <f t="shared" si="2"/>
        <v>80377.93449690996</v>
      </c>
      <c r="H12" s="796">
        <f t="shared" si="2"/>
        <v>162742.7439523001</v>
      </c>
      <c r="I12" s="796">
        <f t="shared" si="2"/>
        <v>105684.54858959002</v>
      </c>
      <c r="J12" s="796">
        <f t="shared" si="2"/>
        <v>43463.42773434999</v>
      </c>
      <c r="K12" s="796">
        <f t="shared" si="2"/>
        <v>22498.25035260999</v>
      </c>
      <c r="L12" s="796">
        <f t="shared" si="2"/>
        <v>24236.596169559998</v>
      </c>
      <c r="M12" s="796">
        <f t="shared" si="2"/>
        <v>26570.77359096</v>
      </c>
      <c r="N12" s="796">
        <f t="shared" si="2"/>
        <v>36905.43699487999</v>
      </c>
      <c r="O12" s="796">
        <f t="shared" si="2"/>
        <v>63912.37892193006</v>
      </c>
      <c r="P12" s="796">
        <f t="shared" si="2"/>
        <v>119821.59838083</v>
      </c>
      <c r="Q12" s="791">
        <f>SUM(Q13:Q15)</f>
        <v>853414.3396609701</v>
      </c>
      <c r="S12" s="774"/>
    </row>
    <row r="13" spans="1:19" ht="14.25">
      <c r="A13" s="782" t="s">
        <v>889</v>
      </c>
      <c r="B13" s="783"/>
      <c r="C13" s="784" t="s">
        <v>890</v>
      </c>
      <c r="D13" s="788"/>
      <c r="E13" s="793">
        <f>'[1]Bilanci i Energjise '!C11</f>
        <v>2464.71</v>
      </c>
      <c r="F13" s="793">
        <f>'[1]Bilanci i Energjise '!D11</f>
        <v>2172.22</v>
      </c>
      <c r="G13" s="793">
        <f>'[1]Bilanci i Energjise '!E11</f>
        <v>2273.3</v>
      </c>
      <c r="H13" s="793">
        <f>'[1]Bilanci i Energjise '!F11</f>
        <v>2451.41</v>
      </c>
      <c r="I13" s="793">
        <f>'[1]Bilanci i Energjise '!G11</f>
        <v>2471.34</v>
      </c>
      <c r="J13" s="793">
        <f>'[1]Bilanci i Energjise '!H11</f>
        <v>2129.07</v>
      </c>
      <c r="K13" s="793">
        <f>'[1]Bilanci i Energjise '!I11</f>
        <v>2109.48</v>
      </c>
      <c r="L13" s="793">
        <f>'[1]Bilanci i Energjise '!J11</f>
        <v>1629.81</v>
      </c>
      <c r="M13" s="793">
        <f>'[1]Bilanci i Energjise '!K11</f>
        <v>1302.84</v>
      </c>
      <c r="N13" s="793">
        <f>'[1]Bilanci i Energjise '!L11</f>
        <v>1857.0200000000004</v>
      </c>
      <c r="O13" s="793">
        <f>'[1]Bilanci i Energjise '!M11</f>
        <v>2025.81</v>
      </c>
      <c r="P13" s="793">
        <f>'[1]Bilanci i Energjise '!N11</f>
        <v>2536.29</v>
      </c>
      <c r="Q13" s="791">
        <f>SUM(E13:P13)</f>
        <v>25423.300000000003</v>
      </c>
      <c r="S13" s="774"/>
    </row>
    <row r="14" spans="1:19" ht="14.25">
      <c r="A14" s="782" t="s">
        <v>891</v>
      </c>
      <c r="B14" s="783"/>
      <c r="C14" s="784" t="s">
        <v>892</v>
      </c>
      <c r="D14" s="788"/>
      <c r="E14" s="793">
        <f>'[1]Bilanci i Energjise '!C12</f>
        <v>83068.87505911998</v>
      </c>
      <c r="F14" s="793">
        <f>'[1]Bilanci i Energjise '!D12</f>
        <v>74131.78691792997</v>
      </c>
      <c r="G14" s="793">
        <f>'[1]Bilanci i Energjise '!E12</f>
        <v>74478.73649690996</v>
      </c>
      <c r="H14" s="793">
        <f>'[1]Bilanci i Energjise '!F12</f>
        <v>156218.4299523001</v>
      </c>
      <c r="I14" s="793">
        <f>'[1]Bilanci i Energjise '!G12</f>
        <v>98408.28158959003</v>
      </c>
      <c r="J14" s="793">
        <f>'[1]Bilanci i Energjise '!H12</f>
        <v>36583.59773434999</v>
      </c>
      <c r="K14" s="793">
        <f>'[1]Bilanci i Energjise '!I12</f>
        <v>15174.817852609991</v>
      </c>
      <c r="L14" s="793">
        <f>'[1]Bilanci i Energjise '!J12</f>
        <v>11284.36356956</v>
      </c>
      <c r="M14" s="793">
        <f>'[1]Bilanci i Energjise '!K12</f>
        <v>21353.69309096</v>
      </c>
      <c r="N14" s="793">
        <f>'[1]Bilanci i Energjise '!L12</f>
        <v>31644.668994879987</v>
      </c>
      <c r="O14" s="793">
        <f>'[1]Bilanci i Energjise '!M12</f>
        <v>59995.97592193006</v>
      </c>
      <c r="P14" s="793">
        <f>'[1]Bilanci i Energjise '!N12</f>
        <v>115555.64938083</v>
      </c>
      <c r="Q14" s="791">
        <f>SUM(E14:P14)</f>
        <v>777898.8765609701</v>
      </c>
      <c r="S14" s="774"/>
    </row>
    <row r="15" spans="1:19" ht="14.25">
      <c r="A15" s="782" t="s">
        <v>893</v>
      </c>
      <c r="B15" s="783"/>
      <c r="C15" s="784" t="s">
        <v>894</v>
      </c>
      <c r="D15" s="788"/>
      <c r="E15" s="793">
        <f>'[1]Bilanci i Energjise '!C13</f>
        <v>2481.9490000000005</v>
      </c>
      <c r="F15" s="793">
        <f>'[1]Bilanci i Energjise '!D13</f>
        <v>2881.1095</v>
      </c>
      <c r="G15" s="793">
        <f>'[1]Bilanci i Energjise '!E13</f>
        <v>3625.8979999999992</v>
      </c>
      <c r="H15" s="793">
        <f>'[1]Bilanci i Energjise '!F13</f>
        <v>4072.904</v>
      </c>
      <c r="I15" s="793">
        <f>'[1]Bilanci i Energjise '!G13</f>
        <v>4804.927</v>
      </c>
      <c r="J15" s="793">
        <f>'[1]Bilanci i Energjise '!H13</f>
        <v>4750.76</v>
      </c>
      <c r="K15" s="793">
        <f>'[1]Bilanci i Energjise '!I13</f>
        <v>5213.9525</v>
      </c>
      <c r="L15" s="793">
        <f>'[1]Bilanci i Energjise '!J13</f>
        <v>11322.4226</v>
      </c>
      <c r="M15" s="793">
        <f>'[1]Bilanci i Energjise '!K13</f>
        <v>3914.2405</v>
      </c>
      <c r="N15" s="793">
        <f>'[1]Bilanci i Energjise '!L13</f>
        <v>3403.7480000000005</v>
      </c>
      <c r="O15" s="793">
        <f>'[1]Bilanci i Energjise '!M13</f>
        <v>1890.593</v>
      </c>
      <c r="P15" s="793">
        <f>'[1]Bilanci i Energjise '!N13</f>
        <v>1729.659</v>
      </c>
      <c r="Q15" s="791">
        <f>SUM(E15:P15)</f>
        <v>50092.1631</v>
      </c>
      <c r="S15" s="774"/>
    </row>
    <row r="16" spans="1:21" s="803" customFormat="1" ht="18.75" customHeight="1">
      <c r="A16" s="797" t="s">
        <v>895</v>
      </c>
      <c r="B16" s="1672" t="s">
        <v>896</v>
      </c>
      <c r="C16" s="1673"/>
      <c r="D16" s="798" t="s">
        <v>897</v>
      </c>
      <c r="E16" s="799">
        <f aca="true" t="shared" si="3" ref="E16:P16">E2+E11</f>
        <v>803791.39025267</v>
      </c>
      <c r="F16" s="799">
        <f t="shared" si="3"/>
        <v>685837.72889777</v>
      </c>
      <c r="G16" s="799">
        <f t="shared" si="3"/>
        <v>725655.69515512</v>
      </c>
      <c r="H16" s="799">
        <f t="shared" si="3"/>
        <v>652482.0043950902</v>
      </c>
      <c r="I16" s="799">
        <f t="shared" si="3"/>
        <v>557096.9238625601</v>
      </c>
      <c r="J16" s="799">
        <f t="shared" si="3"/>
        <v>535654.6012910301</v>
      </c>
      <c r="K16" s="799">
        <f t="shared" si="3"/>
        <v>593528.6060565299</v>
      </c>
      <c r="L16" s="799">
        <f t="shared" si="3"/>
        <v>588708.57597767</v>
      </c>
      <c r="M16" s="799">
        <f t="shared" si="3"/>
        <v>487761.17178234993</v>
      </c>
      <c r="N16" s="799">
        <f t="shared" si="3"/>
        <v>491156.78914426</v>
      </c>
      <c r="O16" s="799">
        <f t="shared" si="3"/>
        <v>564714.56532387</v>
      </c>
      <c r="P16" s="799">
        <f t="shared" si="3"/>
        <v>712594.6503606901</v>
      </c>
      <c r="Q16" s="800">
        <f>SUM(E16:P16)</f>
        <v>7398982.70249961</v>
      </c>
      <c r="R16" s="802"/>
      <c r="S16" s="801"/>
      <c r="T16" s="801"/>
      <c r="U16" s="801"/>
    </row>
    <row r="17" spans="1:19" s="775" customFormat="1" ht="18.75" customHeight="1">
      <c r="A17" s="804" t="s">
        <v>898</v>
      </c>
      <c r="B17" s="1674" t="s">
        <v>899</v>
      </c>
      <c r="C17" s="1675"/>
      <c r="D17" s="805" t="s">
        <v>900</v>
      </c>
      <c r="E17" s="806">
        <f>SUM(E18:E20)</f>
        <v>228398.31949267013</v>
      </c>
      <c r="F17" s="806">
        <f>SUM(F18:F20)</f>
        <v>134805.94565377</v>
      </c>
      <c r="G17" s="806">
        <f>SUM(G18:G20)</f>
        <v>171817.6706821199</v>
      </c>
      <c r="H17" s="806">
        <f aca="true" t="shared" si="4" ref="H17:P17">SUM(H18:H20)</f>
        <v>118995.22480809025</v>
      </c>
      <c r="I17" s="806">
        <f t="shared" si="4"/>
        <v>95173.27254456008</v>
      </c>
      <c r="J17" s="806">
        <f t="shared" si="4"/>
        <v>92679.02300803008</v>
      </c>
      <c r="K17" s="806">
        <f>SUM(K18:K20)</f>
        <v>109306.32928953005</v>
      </c>
      <c r="L17" s="806">
        <f t="shared" si="4"/>
        <v>98991.34263163758</v>
      </c>
      <c r="M17" s="806">
        <f>SUM(M18:M20)</f>
        <v>72891.90301835</v>
      </c>
      <c r="N17" s="806">
        <f t="shared" si="4"/>
        <v>90157.05910925998</v>
      </c>
      <c r="O17" s="806">
        <f t="shared" si="4"/>
        <v>103810.01785787003</v>
      </c>
      <c r="P17" s="806">
        <f t="shared" si="4"/>
        <v>140813.77911369002</v>
      </c>
      <c r="Q17" s="807">
        <f>SUM(Q18:Q20)</f>
        <v>1457839.887209578</v>
      </c>
      <c r="R17" s="787"/>
      <c r="S17" s="787"/>
    </row>
    <row r="18" spans="1:19" ht="15" customHeight="1">
      <c r="A18" s="782" t="s">
        <v>901</v>
      </c>
      <c r="B18" s="808"/>
      <c r="C18" s="784" t="s">
        <v>26</v>
      </c>
      <c r="D18" s="805"/>
      <c r="E18" s="779">
        <f>'[1]Bilanci i Energjise '!C18</f>
        <v>11779.221403730568</v>
      </c>
      <c r="F18" s="779">
        <f>'[1]Bilanci i Energjise '!D18</f>
        <v>7792.075429081218</v>
      </c>
      <c r="G18" s="779">
        <f>'[1]Bilanci i Energjise '!E18</f>
        <v>8153.296522483695</v>
      </c>
      <c r="H18" s="779">
        <f>'[1]Bilanci i Energjise '!F18</f>
        <v>9475.48683839303</v>
      </c>
      <c r="I18" s="779">
        <f>'[1]Bilanci i Energjise '!G18</f>
        <v>7512.416000140365</v>
      </c>
      <c r="J18" s="779">
        <f>'[1]Bilanci i Energjise '!H18</f>
        <v>7562.569325302611</v>
      </c>
      <c r="K18" s="779">
        <f>'[1]Bilanci i Energjise '!I18</f>
        <v>7711.107568893931</v>
      </c>
      <c r="L18" s="779">
        <f>'[1]Bilanci i Energjise '!J18</f>
        <v>11617.777231759042</v>
      </c>
      <c r="M18" s="779">
        <f>'[1]Bilanci i Energjise '!K18</f>
        <v>4771.36552516806</v>
      </c>
      <c r="N18" s="779">
        <f>'[1]Bilanci i Energjise '!L18</f>
        <v>4748.195605926798</v>
      </c>
      <c r="O18" s="779">
        <f>'[1]Bilanci i Energjise '!M18</f>
        <v>6515.950466051814</v>
      </c>
      <c r="P18" s="779">
        <f>'[1]Bilanci i Energjise '!N18</f>
        <v>5691.204263690044</v>
      </c>
      <c r="Q18" s="791">
        <f>SUM(E18:P18)</f>
        <v>93330.66618062118</v>
      </c>
      <c r="S18" s="774"/>
    </row>
    <row r="19" spans="1:19" ht="14.25">
      <c r="A19" s="782" t="s">
        <v>902</v>
      </c>
      <c r="B19" s="783"/>
      <c r="C19" s="784" t="s">
        <v>27</v>
      </c>
      <c r="D19" s="785"/>
      <c r="E19" s="779">
        <f>'[1]Bilanci i Energjise '!C24</f>
        <v>137677.52693906557</v>
      </c>
      <c r="F19" s="779">
        <f>'[1]Bilanci i Energjise '!D24</f>
        <v>82990</v>
      </c>
      <c r="G19" s="779">
        <f>'[1]Bilanci i Energjise '!E24</f>
        <v>103491.6209455483</v>
      </c>
      <c r="H19" s="779">
        <f>'[1]Bilanci i Energjise '!F24</f>
        <v>70765</v>
      </c>
      <c r="I19" s="779">
        <f>'[1]Bilanci i Energjise '!G24</f>
        <v>57223.8887017518</v>
      </c>
      <c r="J19" s="779">
        <f>'[1]Bilanci i Energjise '!H24</f>
        <v>56079.5806135674</v>
      </c>
      <c r="K19" s="779">
        <f>'[1]Bilanci i Energjise '!I24</f>
        <v>68449.7249917217</v>
      </c>
      <c r="L19" s="779">
        <f>'[1]Bilanci i Energjise '!J24</f>
        <v>63789.53723403386</v>
      </c>
      <c r="M19" s="779">
        <f>'[1]Bilanci i Energjise '!K24</f>
        <v>45631.48697498679</v>
      </c>
      <c r="N19" s="779">
        <f>'[1]Bilanci i Energjise '!L24</f>
        <v>49636.0962249665</v>
      </c>
      <c r="O19" s="779">
        <f>'[1]Bilanci i Energjise '!M24</f>
        <v>60729.8352756558</v>
      </c>
      <c r="P19" s="779">
        <f>'[1]Bilanci i Energjise '!N24</f>
        <v>90217.2112931957</v>
      </c>
      <c r="Q19" s="791">
        <f>SUM(E19:P19)</f>
        <v>886681.5091944933</v>
      </c>
      <c r="S19" s="774"/>
    </row>
    <row r="20" spans="1:19" ht="14.25">
      <c r="A20" s="782" t="s">
        <v>903</v>
      </c>
      <c r="B20" s="783"/>
      <c r="C20" s="784" t="s">
        <v>28</v>
      </c>
      <c r="D20" s="785"/>
      <c r="E20" s="779">
        <f>'[1]Bilanci i Energjise '!C26</f>
        <v>78941.57114987398</v>
      </c>
      <c r="F20" s="779">
        <f>'[1]Bilanci i Energjise '!D26</f>
        <v>44023.870224688784</v>
      </c>
      <c r="G20" s="779">
        <f>'[1]Bilanci i Energjise '!E26</f>
        <v>60172.753214087905</v>
      </c>
      <c r="H20" s="779">
        <f>'[1]Bilanci i Energjise '!F26</f>
        <v>38754.73796969722</v>
      </c>
      <c r="I20" s="779">
        <f>'[1]Bilanci i Energjise '!G26</f>
        <v>30436.967842667917</v>
      </c>
      <c r="J20" s="779">
        <f>'[1]Bilanci i Energjise '!H26</f>
        <v>29036.873069160072</v>
      </c>
      <c r="K20" s="779">
        <f>'[1]Bilanci i Energjise '!I26</f>
        <v>33145.496728914426</v>
      </c>
      <c r="L20" s="779">
        <f>'[1]Bilanci i Energjise '!J26</f>
        <v>23584.028165844684</v>
      </c>
      <c r="M20" s="779">
        <f>'[1]Bilanci i Energjise '!K26</f>
        <v>22489.050518195152</v>
      </c>
      <c r="N20" s="779">
        <f>'[1]Bilanci i Energjise '!L26</f>
        <v>35772.76727836668</v>
      </c>
      <c r="O20" s="779">
        <f>'[1]Bilanci i Energjise '!M26</f>
        <v>36564.23211616241</v>
      </c>
      <c r="P20" s="779">
        <f>'[1]Bilanci i Energjise '!N26</f>
        <v>44905.36355680428</v>
      </c>
      <c r="Q20" s="791">
        <f>SUM(E20:P20)</f>
        <v>477827.7118344635</v>
      </c>
      <c r="S20" s="774"/>
    </row>
    <row r="21" spans="1:19" s="775" customFormat="1" ht="18.75" customHeight="1">
      <c r="A21" s="804" t="s">
        <v>901</v>
      </c>
      <c r="B21" s="1674" t="s">
        <v>904</v>
      </c>
      <c r="C21" s="1675"/>
      <c r="D21" s="805" t="s">
        <v>905</v>
      </c>
      <c r="E21" s="809">
        <f>E17/E16</f>
        <v>0.2841512390682284</v>
      </c>
      <c r="F21" s="809">
        <f>F17/F16</f>
        <v>0.19655661969839514</v>
      </c>
      <c r="G21" s="809">
        <f>G17/G16</f>
        <v>0.23677574892510317</v>
      </c>
      <c r="H21" s="809">
        <f>H17/H16</f>
        <v>0.182373190381564</v>
      </c>
      <c r="I21" s="809">
        <f>I17/I16</f>
        <v>0.1708379071359583</v>
      </c>
      <c r="J21" s="809">
        <f>J17/J16</f>
        <v>0.17302011927958036</v>
      </c>
      <c r="K21" s="809">
        <f>K17/K16</f>
        <v>0.18416354018009926</v>
      </c>
      <c r="L21" s="809">
        <f>L17/L16</f>
        <v>0.16814999249372642</v>
      </c>
      <c r="M21" s="809">
        <f>M17/M16</f>
        <v>0.14944179085020737</v>
      </c>
      <c r="N21" s="809">
        <f>N17/N16</f>
        <v>0.1835606492711628</v>
      </c>
      <c r="O21" s="809">
        <f>O17/O16</f>
        <v>0.18382741340899156</v>
      </c>
      <c r="P21" s="809">
        <f>P17/P16</f>
        <v>0.1976071235483105</v>
      </c>
      <c r="Q21" s="810">
        <f>Q17/Q16</f>
        <v>0.19703247673725113</v>
      </c>
      <c r="S21" s="774"/>
    </row>
    <row r="22" spans="1:19" ht="14.25">
      <c r="A22" s="782" t="s">
        <v>906</v>
      </c>
      <c r="B22" s="808"/>
      <c r="C22" s="784" t="s">
        <v>29</v>
      </c>
      <c r="D22" s="805"/>
      <c r="E22" s="811">
        <f>'[1]Bilanci i Energjise '!C19</f>
        <v>0.014654575237522506</v>
      </c>
      <c r="F22" s="811">
        <f>'[1]Bilanci i Energjise '!D19</f>
        <v>0.011361398040326669</v>
      </c>
      <c r="G22" s="811">
        <f>'[1]Bilanci i Energjise '!E19</f>
        <v>0.011235764532573267</v>
      </c>
      <c r="H22" s="811">
        <f>'[1]Bilanci i Energjise '!F19</f>
        <v>0.01452221942454591</v>
      </c>
      <c r="I22" s="811">
        <f>'[1]Bilanci i Energjise '!G19</f>
        <v>0.01348493534671488</v>
      </c>
      <c r="J22" s="811">
        <f>'[1]Bilanci i Energjise '!H19</f>
        <v>0.014118369014427156</v>
      </c>
      <c r="K22" s="811">
        <f>'[1]Bilanci i Energjise '!I19</f>
        <v>0.012991972906120542</v>
      </c>
      <c r="L22" s="811">
        <f>'[1]Bilanci i Energjise '!J19</f>
        <v>0.019734343452471995</v>
      </c>
      <c r="M22" s="811">
        <f>'[1]Bilanci i Energjise '!K19</f>
        <v>0.00978217578847615</v>
      </c>
      <c r="N22" s="811">
        <f>'[1]Bilanci i Energjise '!L19</f>
        <v>0.009667372437627412</v>
      </c>
      <c r="O22" s="811">
        <f>'[1]Bilanci i Energjise '!M19</f>
        <v>0.011538484866801415</v>
      </c>
      <c r="P22" s="811">
        <f>'[1]Bilanci i Energjise '!N19</f>
        <v>0.007986594146909972</v>
      </c>
      <c r="Q22" s="812">
        <f>'[1]Bilanci i Energjise '!O19</f>
        <v>0.012613986264502646</v>
      </c>
      <c r="S22" s="774"/>
    </row>
    <row r="23" spans="1:19" ht="14.25">
      <c r="A23" s="782" t="s">
        <v>907</v>
      </c>
      <c r="B23" s="783"/>
      <c r="C23" s="784" t="s">
        <v>30</v>
      </c>
      <c r="D23" s="785"/>
      <c r="E23" s="811">
        <f>'[1]Bilanci i Energjise '!C25</f>
        <v>0.17394033619524618</v>
      </c>
      <c r="F23" s="811">
        <f>'[1]Bilanci i Energjise '!D25</f>
        <v>0.12247208624512933</v>
      </c>
      <c r="G23" s="811">
        <f>'[1]Bilanci i Energjise '!E25</f>
        <v>0.14433053039279223</v>
      </c>
      <c r="H23" s="811">
        <f>'[1]Bilanci i Energjise '!F25</f>
        <v>0.11011440548515111</v>
      </c>
      <c r="I23" s="811">
        <f>'[1]Bilanci i Energjise '!G25</f>
        <v>0.1041802948700098</v>
      </c>
      <c r="J23" s="811">
        <f>'[1]Bilanci i Energjise '!H25</f>
        <v>0.10625222477423518</v>
      </c>
      <c r="K23" s="811">
        <f>'[1]Bilanci i Energjise '!I25</f>
        <v>0.11691189124017554</v>
      </c>
      <c r="L23" s="811">
        <f>'[1]Bilanci i Energjise '!J25</f>
        <v>0.11059897297681494</v>
      </c>
      <c r="M23" s="811">
        <f>'[1]Bilanci i Energjise '!K25</f>
        <v>0.09453259752495292</v>
      </c>
      <c r="N23" s="811">
        <f>'[1]Bilanci i Energjise '!L25</f>
        <v>0.10211171470271535</v>
      </c>
      <c r="O23" s="811">
        <f>'[1]Bilanci i Energjise '!M25</f>
        <v>0.10886253923420335</v>
      </c>
      <c r="P23" s="811">
        <f>'[1]Bilanci i Energjise '!N25</f>
        <v>0.12770022512363888</v>
      </c>
      <c r="Q23" s="812">
        <f>'[1]Bilanci i Energjise '!O25</f>
        <v>0.12144163094048621</v>
      </c>
      <c r="S23" s="774"/>
    </row>
    <row r="24" spans="1:19" ht="14.25">
      <c r="A24" s="782" t="s">
        <v>908</v>
      </c>
      <c r="B24" s="783"/>
      <c r="C24" s="784" t="s">
        <v>31</v>
      </c>
      <c r="D24" s="785"/>
      <c r="E24" s="811">
        <f>'[1]Bilanci i Energjise '!C27</f>
        <v>0.09821151620578926</v>
      </c>
      <c r="F24" s="811">
        <f>'[1]Bilanci i Energjise '!D27</f>
        <v>0.06418992185723121</v>
      </c>
      <c r="G24" s="811">
        <f>'[1]Bilanci i Energjise '!E27</f>
        <v>0.08292190582370482</v>
      </c>
      <c r="H24" s="811">
        <f>'[1]Bilanci i Energjise '!F27</f>
        <v>0.05939587254306938</v>
      </c>
      <c r="I24" s="811">
        <f>'[1]Bilanci i Energjise '!G27</f>
        <v>0.05463495944590235</v>
      </c>
      <c r="J24" s="811">
        <f>'[1]Bilanci i Energjise '!H27</f>
        <v>0.05420820244832333</v>
      </c>
      <c r="K24" s="811">
        <f>'[1]Bilanci i Energjise '!I27</f>
        <v>0.05584481757187204</v>
      </c>
      <c r="L24" s="811">
        <f>'[1]Bilanci i Energjise '!J27</f>
        <v>0.040060615945128074</v>
      </c>
      <c r="M24" s="811">
        <f>'[1]Bilanci i Energjise '!K27</f>
        <v>0.0461066846219368</v>
      </c>
      <c r="N24" s="811">
        <f>'[1]Bilanci i Energjise '!L27</f>
        <v>0.07283370212736627</v>
      </c>
      <c r="O24" s="811">
        <f>'[1]Bilanci i Energjise '!M27</f>
        <v>0.06474816546513622</v>
      </c>
      <c r="P24" s="811">
        <f>'[1]Bilanci i Energjise '!N27</f>
        <v>0.06301670035562966</v>
      </c>
      <c r="Q24" s="812">
        <f>'[1]Bilanci i Energjise '!O27</f>
        <v>0.06458019041902047</v>
      </c>
      <c r="S24" s="774"/>
    </row>
    <row r="25" spans="1:19" s="775" customFormat="1" ht="16.5" customHeight="1">
      <c r="A25" s="804" t="s">
        <v>32</v>
      </c>
      <c r="B25" s="1676" t="s">
        <v>909</v>
      </c>
      <c r="C25" s="1677"/>
      <c r="D25" s="785" t="s">
        <v>910</v>
      </c>
      <c r="E25" s="806">
        <f>SUM(E26,E30,E34:E36,E39,E40)</f>
        <v>571231.7133599999</v>
      </c>
      <c r="F25" s="806">
        <f aca="true" t="shared" si="5" ref="F25:P25">SUM(F26,F30,F34:F36,F39,F40)</f>
        <v>545259.646144</v>
      </c>
      <c r="G25" s="806">
        <f t="shared" si="5"/>
        <v>549708.989673</v>
      </c>
      <c r="H25" s="806">
        <f t="shared" si="5"/>
        <v>530369.9707869999</v>
      </c>
      <c r="I25" s="806">
        <f t="shared" si="5"/>
        <v>459416.56861799996</v>
      </c>
      <c r="J25" s="806">
        <f t="shared" si="5"/>
        <v>439140.93848300003</v>
      </c>
      <c r="K25" s="806">
        <f t="shared" si="5"/>
        <v>477253.72206700005</v>
      </c>
      <c r="L25" s="806">
        <f t="shared" si="5"/>
        <v>482620.84914603224</v>
      </c>
      <c r="M25" s="806">
        <f t="shared" si="5"/>
        <v>409807.10686400003</v>
      </c>
      <c r="N25" s="806">
        <f t="shared" si="5"/>
        <v>397015.366935</v>
      </c>
      <c r="O25" s="806">
        <f t="shared" si="5"/>
        <v>457028.79906600004</v>
      </c>
      <c r="P25" s="806">
        <f t="shared" si="5"/>
        <v>564670.566947</v>
      </c>
      <c r="Q25" s="807">
        <f>SUM(E25:P25)</f>
        <v>5883524.238090031</v>
      </c>
      <c r="R25" s="774"/>
      <c r="S25" s="774"/>
    </row>
    <row r="26" spans="1:19" s="775" customFormat="1" ht="15">
      <c r="A26" s="776" t="s">
        <v>911</v>
      </c>
      <c r="B26" s="1658" t="s">
        <v>912</v>
      </c>
      <c r="C26" s="1659"/>
      <c r="D26" s="813" t="s">
        <v>913</v>
      </c>
      <c r="E26" s="806">
        <f>SUM(E27:E29)</f>
        <v>84224.20670000001</v>
      </c>
      <c r="F26" s="806">
        <f aca="true" t="shared" si="6" ref="F26:P26">SUM(F27:F29)</f>
        <v>87385.97482100001</v>
      </c>
      <c r="G26" s="806">
        <f t="shared" si="6"/>
        <v>92817.772664</v>
      </c>
      <c r="H26" s="806">
        <f t="shared" si="6"/>
        <v>81530.429</v>
      </c>
      <c r="I26" s="806">
        <f t="shared" si="6"/>
        <v>88357.679</v>
      </c>
      <c r="J26" s="806">
        <f t="shared" si="6"/>
        <v>95101.2993</v>
      </c>
      <c r="K26" s="806">
        <f t="shared" si="6"/>
        <v>103493.04081200002</v>
      </c>
      <c r="L26" s="806">
        <f t="shared" si="6"/>
        <v>102216.089088</v>
      </c>
      <c r="M26" s="806">
        <f t="shared" si="6"/>
        <v>88353.7248</v>
      </c>
      <c r="N26" s="806">
        <f t="shared" si="6"/>
        <v>86576.68770000001</v>
      </c>
      <c r="O26" s="806">
        <f t="shared" si="6"/>
        <v>95719.35459999999</v>
      </c>
      <c r="P26" s="806">
        <f t="shared" si="6"/>
        <v>96566.35519999999</v>
      </c>
      <c r="Q26" s="807">
        <f>SUM(Q27:Q29)</f>
        <v>1102342.6136850002</v>
      </c>
      <c r="R26" s="774"/>
      <c r="S26" s="774"/>
    </row>
    <row r="27" spans="1:19" s="775" customFormat="1" ht="15">
      <c r="A27" s="782" t="s">
        <v>914</v>
      </c>
      <c r="B27" s="1362"/>
      <c r="C27" s="814" t="s">
        <v>533</v>
      </c>
      <c r="D27" s="813"/>
      <c r="E27" s="796">
        <v>257.2645</v>
      </c>
      <c r="F27" s="796">
        <v>208.629</v>
      </c>
      <c r="G27" s="796">
        <v>1226.628</v>
      </c>
      <c r="H27" s="796">
        <v>1385.07</v>
      </c>
      <c r="I27" s="796">
        <v>59.817</v>
      </c>
      <c r="J27" s="796">
        <v>63.644</v>
      </c>
      <c r="K27" s="796">
        <v>68.372</v>
      </c>
      <c r="L27" s="796">
        <v>2025.84</v>
      </c>
      <c r="M27" s="796">
        <v>483.085</v>
      </c>
      <c r="N27" s="796">
        <v>69.089</v>
      </c>
      <c r="O27" s="796">
        <v>65.492</v>
      </c>
      <c r="P27" s="796">
        <v>22.371</v>
      </c>
      <c r="Q27" s="786">
        <f>SUM(E27:P27)</f>
        <v>5935.3015</v>
      </c>
      <c r="R27" s="774"/>
      <c r="S27" s="774"/>
    </row>
    <row r="28" spans="1:19" s="775" customFormat="1" ht="15">
      <c r="A28" s="782" t="s">
        <v>915</v>
      </c>
      <c r="B28" s="1362"/>
      <c r="C28" s="814" t="s">
        <v>534</v>
      </c>
      <c r="D28" s="785"/>
      <c r="E28" s="796">
        <v>1579.707</v>
      </c>
      <c r="F28" s="796">
        <v>1411.344</v>
      </c>
      <c r="G28" s="796">
        <v>1551.79</v>
      </c>
      <c r="H28" s="796">
        <v>23.062</v>
      </c>
      <c r="I28" s="796">
        <v>1496.9</v>
      </c>
      <c r="J28" s="796">
        <v>1560.275</v>
      </c>
      <c r="K28" s="796">
        <v>1305.986</v>
      </c>
      <c r="L28" s="796">
        <v>1586.594</v>
      </c>
      <c r="M28" s="796">
        <v>1398.044</v>
      </c>
      <c r="N28" s="796">
        <v>1452.604</v>
      </c>
      <c r="O28" s="796">
        <v>1364.156</v>
      </c>
      <c r="P28" s="795">
        <v>2241.082</v>
      </c>
      <c r="Q28" s="786">
        <f>SUM(E28:P28)</f>
        <v>16971.543999999998</v>
      </c>
      <c r="R28" s="815"/>
      <c r="S28" s="774"/>
    </row>
    <row r="29" spans="1:19" s="775" customFormat="1" ht="15">
      <c r="A29" s="782" t="s">
        <v>1073</v>
      </c>
      <c r="B29" s="1362"/>
      <c r="C29" s="814" t="s">
        <v>1074</v>
      </c>
      <c r="D29" s="785"/>
      <c r="E29" s="796">
        <v>82387.23520000001</v>
      </c>
      <c r="F29" s="796">
        <v>85766.00182100001</v>
      </c>
      <c r="G29" s="796">
        <v>90039.354664</v>
      </c>
      <c r="H29" s="796">
        <v>80122.297</v>
      </c>
      <c r="I29" s="796">
        <v>86800.962</v>
      </c>
      <c r="J29" s="796">
        <v>93477.3803</v>
      </c>
      <c r="K29" s="796">
        <v>102118.68281200001</v>
      </c>
      <c r="L29" s="796">
        <v>98603.655088</v>
      </c>
      <c r="M29" s="796">
        <v>86472.5958</v>
      </c>
      <c r="N29" s="796">
        <v>85054.99470000001</v>
      </c>
      <c r="O29" s="796">
        <v>94289.70659999999</v>
      </c>
      <c r="P29" s="795">
        <v>94302.9022</v>
      </c>
      <c r="Q29" s="786">
        <f>SUM(E29:P29)</f>
        <v>1079435.7681850002</v>
      </c>
      <c r="R29" s="815"/>
      <c r="S29" s="774"/>
    </row>
    <row r="30" spans="1:19" s="781" customFormat="1" ht="15" customHeight="1">
      <c r="A30" s="776" t="s">
        <v>916</v>
      </c>
      <c r="B30" s="1658" t="s">
        <v>917</v>
      </c>
      <c r="C30" s="1659"/>
      <c r="D30" s="813" t="s">
        <v>918</v>
      </c>
      <c r="E30" s="806">
        <f>SUM(E31:E33)</f>
        <v>93710.3679</v>
      </c>
      <c r="F30" s="806">
        <f>SUM(F31:F33)</f>
        <v>91568.92735</v>
      </c>
      <c r="G30" s="806">
        <f>SUM(G31:G33)</f>
        <v>94256.13887499999</v>
      </c>
      <c r="H30" s="806">
        <f aca="true" t="shared" si="7" ref="H30:P30">SUM(H31:H33)</f>
        <v>81272.75157</v>
      </c>
      <c r="I30" s="806">
        <f>SUM(I31:I33)</f>
        <v>84673.60971</v>
      </c>
      <c r="J30" s="806">
        <f>SUM(J31:J33)</f>
        <v>99832.65919</v>
      </c>
      <c r="K30" s="806">
        <f>SUM(K31:K33)</f>
        <v>115255.71370000001</v>
      </c>
      <c r="L30" s="806">
        <f t="shared" si="7"/>
        <v>117731.85479</v>
      </c>
      <c r="M30" s="806">
        <f t="shared" si="7"/>
        <v>92944.50050000001</v>
      </c>
      <c r="N30" s="806">
        <f>SUM(N31:N33)</f>
        <v>82680.381022</v>
      </c>
      <c r="O30" s="806">
        <f>SUM(O31:O33)</f>
        <v>84276.393469</v>
      </c>
      <c r="P30" s="806">
        <f t="shared" si="7"/>
        <v>95488.45657899999</v>
      </c>
      <c r="Q30" s="807">
        <f>SUM(Q31:Q33)</f>
        <v>1133691.754655</v>
      </c>
      <c r="S30" s="774"/>
    </row>
    <row r="31" spans="1:19" ht="14.25">
      <c r="A31" s="782" t="s">
        <v>919</v>
      </c>
      <c r="B31" s="816"/>
      <c r="C31" s="814" t="s">
        <v>920</v>
      </c>
      <c r="D31" s="785"/>
      <c r="E31" s="779">
        <v>0</v>
      </c>
      <c r="F31" s="779">
        <v>0</v>
      </c>
      <c r="G31" s="779">
        <v>0</v>
      </c>
      <c r="H31" s="779">
        <v>0</v>
      </c>
      <c r="I31" s="779">
        <v>0</v>
      </c>
      <c r="J31" s="779">
        <v>0</v>
      </c>
      <c r="K31" s="779">
        <v>0</v>
      </c>
      <c r="L31" s="779">
        <v>0</v>
      </c>
      <c r="M31" s="779">
        <v>0</v>
      </c>
      <c r="N31" s="779">
        <v>0</v>
      </c>
      <c r="O31" s="779">
        <v>0</v>
      </c>
      <c r="P31" s="779">
        <v>0</v>
      </c>
      <c r="Q31" s="791">
        <f>SUM(E31:H31)</f>
        <v>0</v>
      </c>
      <c r="R31" s="781"/>
      <c r="S31" s="774"/>
    </row>
    <row r="32" spans="1:19" ht="14.25">
      <c r="A32" s="782" t="s">
        <v>921</v>
      </c>
      <c r="B32" s="816"/>
      <c r="C32" s="814" t="s">
        <v>922</v>
      </c>
      <c r="D32" s="785"/>
      <c r="E32" s="778">
        <f>198.206+'[1]Bilanci i Energjise '!C20</f>
        <v>688.810899999998</v>
      </c>
      <c r="F32" s="778">
        <f>210.654+'[1]Bilanci i Energjise '!D20</f>
        <v>632.511350000005</v>
      </c>
      <c r="G32" s="778">
        <f>203.251+'[1]Bilanci i Energjise '!E20</f>
        <v>659.7088749999989</v>
      </c>
      <c r="H32" s="778">
        <f>189.317+'[1]Bilanci i Energjise '!F20</f>
        <v>546.0405699999951</v>
      </c>
      <c r="I32" s="789">
        <f>170.362+'[1]Bilanci i Energjise '!G20</f>
        <v>477.400709999999</v>
      </c>
      <c r="J32" s="790">
        <f>147.793+'[1]Bilanci i Energjise '!H20</f>
        <v>443.058989999999</v>
      </c>
      <c r="K32" s="790">
        <f>169.198+'[1]Bilanci i Energjise '!I20</f>
        <v>505.4057000000025</v>
      </c>
      <c r="L32" s="790">
        <f>139.857+'[1]Bilanci i Energjise '!J20</f>
        <v>466.3737899999992</v>
      </c>
      <c r="M32" s="790">
        <f>159.987+'[1]Bilanci i Energjise '!K20</f>
        <v>443.42349999999806</v>
      </c>
      <c r="N32" s="790">
        <f>19.801+'[1]Bilanci i Energjise '!L20</f>
        <v>332.393022</v>
      </c>
      <c r="O32" s="790">
        <f>91.857+'[1]Bilanci i Energjise '!M20</f>
        <v>432.5006689999998</v>
      </c>
      <c r="P32" s="790">
        <f>200.636+'[1]Bilanci i Energjise '!N20</f>
        <v>627.5570490000019</v>
      </c>
      <c r="Q32" s="791">
        <f>SUM(E32:P32)</f>
        <v>6255.185124999997</v>
      </c>
      <c r="R32" s="781"/>
      <c r="S32" s="774"/>
    </row>
    <row r="33" spans="1:19" ht="15.75" customHeight="1">
      <c r="A33" s="782" t="s">
        <v>923</v>
      </c>
      <c r="B33" s="816"/>
      <c r="C33" s="817" t="s">
        <v>924</v>
      </c>
      <c r="D33" s="818"/>
      <c r="E33" s="778">
        <v>93021.557</v>
      </c>
      <c r="F33" s="819">
        <v>90936.416</v>
      </c>
      <c r="G33" s="779">
        <v>93596.43</v>
      </c>
      <c r="H33" s="779">
        <v>80726.711</v>
      </c>
      <c r="I33" s="790">
        <v>84196.209</v>
      </c>
      <c r="J33" s="790">
        <v>99389.6002</v>
      </c>
      <c r="K33" s="790">
        <v>114750.308</v>
      </c>
      <c r="L33" s="790">
        <v>117265.481</v>
      </c>
      <c r="M33" s="790">
        <v>92501.077</v>
      </c>
      <c r="N33" s="790">
        <v>82347.988</v>
      </c>
      <c r="O33" s="790">
        <v>83843.8928</v>
      </c>
      <c r="P33" s="790">
        <v>94860.89953</v>
      </c>
      <c r="Q33" s="786">
        <f>SUM(E33:P33)</f>
        <v>1127436.56953</v>
      </c>
      <c r="R33" s="781"/>
      <c r="S33" s="774"/>
    </row>
    <row r="34" spans="1:19" s="781" customFormat="1" ht="15.75" customHeight="1">
      <c r="A34" s="776" t="s">
        <v>925</v>
      </c>
      <c r="B34" s="1658" t="s">
        <v>926</v>
      </c>
      <c r="C34" s="1659"/>
      <c r="D34" s="813"/>
      <c r="E34" s="796">
        <v>3725.956</v>
      </c>
      <c r="F34" s="796">
        <v>4105.693</v>
      </c>
      <c r="G34" s="796">
        <v>4008.919</v>
      </c>
      <c r="H34" s="820">
        <v>3509.801</v>
      </c>
      <c r="I34" s="821">
        <v>3144.226</v>
      </c>
      <c r="J34" s="821">
        <v>3266.019</v>
      </c>
      <c r="K34" s="821">
        <v>3724.289</v>
      </c>
      <c r="L34" s="821">
        <v>3650.4869</v>
      </c>
      <c r="M34" s="821">
        <v>2576.765</v>
      </c>
      <c r="N34" s="822">
        <v>2664.332</v>
      </c>
      <c r="O34" s="821">
        <v>3205.889</v>
      </c>
      <c r="P34" s="821">
        <v>3291.675</v>
      </c>
      <c r="Q34" s="807">
        <f>SUM(E34:P34)</f>
        <v>40874.0509</v>
      </c>
      <c r="S34" s="774"/>
    </row>
    <row r="35" spans="1:19" s="781" customFormat="1" ht="15.75" customHeight="1">
      <c r="A35" s="776" t="s">
        <v>927</v>
      </c>
      <c r="B35" s="1658" t="s">
        <v>928</v>
      </c>
      <c r="C35" s="1659"/>
      <c r="D35" s="813"/>
      <c r="E35" s="796">
        <v>17878.043</v>
      </c>
      <c r="F35" s="796">
        <v>18634.999</v>
      </c>
      <c r="G35" s="796">
        <v>18290.953</v>
      </c>
      <c r="H35" s="796">
        <v>15090.4</v>
      </c>
      <c r="I35" s="821">
        <v>11921.832</v>
      </c>
      <c r="J35" s="821">
        <v>10675.48</v>
      </c>
      <c r="K35" s="821">
        <v>11675.81</v>
      </c>
      <c r="L35" s="821">
        <v>10469.879</v>
      </c>
      <c r="M35" s="821">
        <v>9844.184</v>
      </c>
      <c r="N35" s="821">
        <v>10191.329</v>
      </c>
      <c r="O35" s="821">
        <v>12748.778</v>
      </c>
      <c r="P35" s="821">
        <v>14724.507</v>
      </c>
      <c r="Q35" s="807">
        <f>SUM(E35:P35)</f>
        <v>162146.194</v>
      </c>
      <c r="S35" s="774"/>
    </row>
    <row r="36" spans="1:19" s="781" customFormat="1" ht="15.75" customHeight="1">
      <c r="A36" s="776" t="s">
        <v>929</v>
      </c>
      <c r="B36" s="1658" t="s">
        <v>930</v>
      </c>
      <c r="C36" s="1659"/>
      <c r="D36" s="813" t="s">
        <v>931</v>
      </c>
      <c r="E36" s="796">
        <v>339507.53099999996</v>
      </c>
      <c r="F36" s="796">
        <v>312500.20399999997</v>
      </c>
      <c r="G36" s="796">
        <v>311596.45920000004</v>
      </c>
      <c r="H36" s="796">
        <v>250796.596</v>
      </c>
      <c r="I36" s="796">
        <v>216134.4614</v>
      </c>
      <c r="J36" s="796">
        <v>218214.4607</v>
      </c>
      <c r="K36" s="796">
        <v>240041.856391</v>
      </c>
      <c r="L36" s="796">
        <v>245943.76132</v>
      </c>
      <c r="M36" s="796">
        <v>209218.40600000002</v>
      </c>
      <c r="N36" s="796">
        <v>203863.833</v>
      </c>
      <c r="O36" s="796">
        <v>232007.43300000002</v>
      </c>
      <c r="P36" s="796">
        <v>292058.29600000003</v>
      </c>
      <c r="Q36" s="807">
        <f>SUM(Q37:Q38)</f>
        <v>3071883.2980110003</v>
      </c>
      <c r="S36" s="774"/>
    </row>
    <row r="37" spans="1:19" ht="14.25">
      <c r="A37" s="782" t="s">
        <v>932</v>
      </c>
      <c r="B37" s="816"/>
      <c r="C37" s="823" t="s">
        <v>933</v>
      </c>
      <c r="D37" s="785"/>
      <c r="E37" s="796">
        <v>332522.372</v>
      </c>
      <c r="F37" s="779">
        <v>305539.73</v>
      </c>
      <c r="G37" s="779">
        <v>304218.0812</v>
      </c>
      <c r="H37" s="779">
        <v>243410.716</v>
      </c>
      <c r="I37" s="779">
        <v>208690.8034</v>
      </c>
      <c r="J37" s="779">
        <v>210705.2237</v>
      </c>
      <c r="K37" s="779">
        <v>232459.408391</v>
      </c>
      <c r="L37" s="779">
        <v>237493.74532</v>
      </c>
      <c r="M37" s="779">
        <v>201521.187</v>
      </c>
      <c r="N37" s="779">
        <v>196475.44</v>
      </c>
      <c r="O37" s="779">
        <v>224394.782</v>
      </c>
      <c r="P37" s="779">
        <v>284341.427</v>
      </c>
      <c r="Q37" s="791">
        <f aca="true" t="shared" si="8" ref="Q37:Q45">SUM(E37:P37)</f>
        <v>2981772.916011</v>
      </c>
      <c r="S37" s="774"/>
    </row>
    <row r="38" spans="1:19" ht="14.25">
      <c r="A38" s="782" t="s">
        <v>934</v>
      </c>
      <c r="B38" s="816"/>
      <c r="C38" s="823" t="s">
        <v>935</v>
      </c>
      <c r="D38" s="785"/>
      <c r="E38" s="796">
        <v>6985.159</v>
      </c>
      <c r="F38" s="779">
        <v>6960.474</v>
      </c>
      <c r="G38" s="779">
        <v>7378.378</v>
      </c>
      <c r="H38" s="779">
        <v>7385.88</v>
      </c>
      <c r="I38" s="779">
        <v>7443.658</v>
      </c>
      <c r="J38" s="779">
        <v>7509.237</v>
      </c>
      <c r="K38" s="779">
        <v>7582.448</v>
      </c>
      <c r="L38" s="779">
        <v>8450.016</v>
      </c>
      <c r="M38" s="779">
        <v>7697.219</v>
      </c>
      <c r="N38" s="779">
        <v>7388.393</v>
      </c>
      <c r="O38" s="779">
        <v>7612.651</v>
      </c>
      <c r="P38" s="779">
        <v>7716.869</v>
      </c>
      <c r="Q38" s="791">
        <f t="shared" si="8"/>
        <v>90110.382</v>
      </c>
      <c r="S38" s="774"/>
    </row>
    <row r="39" spans="1:19" ht="15">
      <c r="A39" s="776" t="s">
        <v>936</v>
      </c>
      <c r="B39" s="1666" t="s">
        <v>937</v>
      </c>
      <c r="C39" s="1667"/>
      <c r="D39" s="777" t="s">
        <v>938</v>
      </c>
      <c r="E39" s="796">
        <f>E11</f>
        <v>29707.27116000001</v>
      </c>
      <c r="F39" s="796">
        <f>F11</f>
        <v>29381.900073</v>
      </c>
      <c r="G39" s="796">
        <f aca="true" t="shared" si="9" ref="G39:P39">G11</f>
        <v>26664.369933999995</v>
      </c>
      <c r="H39" s="796">
        <f t="shared" si="9"/>
        <v>96219.34161699998</v>
      </c>
      <c r="I39" s="796">
        <f t="shared" si="9"/>
        <v>52872.490207999996</v>
      </c>
      <c r="J39" s="796">
        <f t="shared" si="9"/>
        <v>10145.751593</v>
      </c>
      <c r="K39" s="796">
        <f t="shared" si="9"/>
        <v>1653.945564</v>
      </c>
      <c r="L39" s="796">
        <f t="shared" si="9"/>
        <v>1181.5771190000003</v>
      </c>
      <c r="M39" s="796">
        <f t="shared" si="9"/>
        <v>5874.850764000001</v>
      </c>
      <c r="N39" s="796">
        <f t="shared" si="9"/>
        <v>10195.574213</v>
      </c>
      <c r="O39" s="796">
        <f t="shared" si="9"/>
        <v>28451.327997</v>
      </c>
      <c r="P39" s="796">
        <f t="shared" si="9"/>
        <v>62030.510168</v>
      </c>
      <c r="Q39" s="807">
        <f t="shared" si="8"/>
        <v>354378.91041</v>
      </c>
      <c r="S39" s="774"/>
    </row>
    <row r="40" spans="1:19" ht="15">
      <c r="A40" s="776" t="s">
        <v>939</v>
      </c>
      <c r="B40" s="1363" t="s">
        <v>940</v>
      </c>
      <c r="C40" s="1364"/>
      <c r="D40" s="777" t="s">
        <v>939</v>
      </c>
      <c r="E40" s="796">
        <f>E6</f>
        <v>2478.3376000000003</v>
      </c>
      <c r="F40" s="796">
        <f aca="true" t="shared" si="10" ref="F40:P40">F6</f>
        <v>1681.9479</v>
      </c>
      <c r="G40" s="796">
        <f t="shared" si="10"/>
        <v>2074.377</v>
      </c>
      <c r="H40" s="796">
        <f t="shared" si="10"/>
        <v>1950.6516000000001</v>
      </c>
      <c r="I40" s="796">
        <f t="shared" si="10"/>
        <v>2312.2702999999997</v>
      </c>
      <c r="J40" s="796">
        <f t="shared" si="10"/>
        <v>1905.2686999999999</v>
      </c>
      <c r="K40" s="796">
        <f t="shared" si="10"/>
        <v>1409.0666</v>
      </c>
      <c r="L40" s="796">
        <f t="shared" si="10"/>
        <v>1427.200929032258</v>
      </c>
      <c r="M40" s="796">
        <f t="shared" si="10"/>
        <v>994.6758000000001</v>
      </c>
      <c r="N40" s="796">
        <f t="shared" si="10"/>
        <v>843.23</v>
      </c>
      <c r="O40" s="796">
        <f t="shared" si="10"/>
        <v>619.623</v>
      </c>
      <c r="P40" s="796">
        <f t="shared" si="10"/>
        <v>510.767</v>
      </c>
      <c r="Q40" s="807">
        <f t="shared" si="8"/>
        <v>18207.41642903226</v>
      </c>
      <c r="S40" s="774"/>
    </row>
    <row r="41" spans="1:19" s="775" customFormat="1" ht="15" customHeight="1">
      <c r="A41" s="804" t="s">
        <v>941</v>
      </c>
      <c r="B41" s="1660" t="s">
        <v>942</v>
      </c>
      <c r="C41" s="1661"/>
      <c r="D41" s="805"/>
      <c r="E41" s="824">
        <v>7572743.836202</v>
      </c>
      <c r="F41" s="824">
        <v>7779896.463152001</v>
      </c>
      <c r="G41" s="806">
        <v>7515728.455634001</v>
      </c>
      <c r="H41" s="806">
        <v>7733441.461740002</v>
      </c>
      <c r="I41" s="806">
        <v>6432950.273265998</v>
      </c>
      <c r="J41" s="806">
        <v>6188302.736056</v>
      </c>
      <c r="K41" s="806">
        <v>6553744.284214001</v>
      </c>
      <c r="L41" s="806">
        <v>7214541.825239998</v>
      </c>
      <c r="M41" s="806">
        <v>7358491.039474001</v>
      </c>
      <c r="N41" s="824">
        <v>6162924.833488</v>
      </c>
      <c r="O41" s="824">
        <v>5848662.995525999</v>
      </c>
      <c r="P41" s="824">
        <v>6502314.575459999</v>
      </c>
      <c r="Q41" s="807">
        <f t="shared" si="8"/>
        <v>82863742.77945201</v>
      </c>
      <c r="R41" s="774"/>
      <c r="S41" s="774"/>
    </row>
    <row r="42" spans="1:19" s="775" customFormat="1" ht="15" customHeight="1">
      <c r="A42" s="804" t="s">
        <v>33</v>
      </c>
      <c r="B42" s="1668" t="s">
        <v>943</v>
      </c>
      <c r="C42" s="1669"/>
      <c r="D42" s="826" t="s">
        <v>944</v>
      </c>
      <c r="E42" s="827">
        <f aca="true" t="shared" si="11" ref="E42:P42">E43+E44+E45</f>
        <v>6859192.93464389</v>
      </c>
      <c r="F42" s="827">
        <f t="shared" si="11"/>
        <v>6664375.78452</v>
      </c>
      <c r="G42" s="827">
        <f t="shared" si="11"/>
        <v>7719627.15187701</v>
      </c>
      <c r="H42" s="827">
        <f t="shared" si="11"/>
        <v>6995838.094633902</v>
      </c>
      <c r="I42" s="827">
        <f t="shared" si="11"/>
        <v>6306323.884933983</v>
      </c>
      <c r="J42" s="827">
        <f t="shared" si="11"/>
        <v>6055582.541177946</v>
      </c>
      <c r="K42" s="827">
        <f t="shared" si="11"/>
        <v>6545583.198761703</v>
      </c>
      <c r="L42" s="827">
        <f t="shared" si="11"/>
        <v>7572519.441177898</v>
      </c>
      <c r="M42" s="827">
        <f t="shared" si="11"/>
        <v>7399844.258830801</v>
      </c>
      <c r="N42" s="827">
        <f t="shared" si="11"/>
        <v>6440598.395761202</v>
      </c>
      <c r="O42" s="827">
        <f t="shared" si="11"/>
        <v>5984098.540001899</v>
      </c>
      <c r="P42" s="827">
        <f t="shared" si="11"/>
        <v>6690562.173094162</v>
      </c>
      <c r="Q42" s="828">
        <f t="shared" si="8"/>
        <v>81234146.3994144</v>
      </c>
      <c r="R42" s="825"/>
      <c r="S42" s="774"/>
    </row>
    <row r="43" spans="1:19" ht="14.25">
      <c r="A43" s="782" t="s">
        <v>945</v>
      </c>
      <c r="B43" s="829"/>
      <c r="C43" s="830" t="s">
        <v>34</v>
      </c>
      <c r="D43" s="831"/>
      <c r="E43" s="832">
        <v>4772679.271286</v>
      </c>
      <c r="F43" s="832">
        <v>4569541.012954</v>
      </c>
      <c r="G43" s="832">
        <v>4836202.563650005</v>
      </c>
      <c r="H43" s="832">
        <v>4689433.329582001</v>
      </c>
      <c r="I43" s="832">
        <v>4033174.9572540317</v>
      </c>
      <c r="J43" s="832">
        <v>3762428.88414602</v>
      </c>
      <c r="K43" s="833">
        <v>3967211.4332799916</v>
      </c>
      <c r="L43" s="833">
        <v>4655970.0385179985</v>
      </c>
      <c r="M43" s="833">
        <v>4672250.998686</v>
      </c>
      <c r="N43" s="833">
        <v>4001573.0308560017</v>
      </c>
      <c r="O43" s="833">
        <v>3741612.8791960003</v>
      </c>
      <c r="P43" s="834">
        <v>4426937.033662</v>
      </c>
      <c r="Q43" s="835">
        <f t="shared" si="8"/>
        <v>52129015.43307005</v>
      </c>
      <c r="R43" s="819"/>
      <c r="S43" s="774"/>
    </row>
    <row r="44" spans="1:19" ht="14.25">
      <c r="A44" s="782" t="s">
        <v>946</v>
      </c>
      <c r="B44" s="829"/>
      <c r="C44" s="836" t="s">
        <v>35</v>
      </c>
      <c r="D44" s="837"/>
      <c r="E44" s="832">
        <v>20756.616489999928</v>
      </c>
      <c r="F44" s="832">
        <v>13611.02251</v>
      </c>
      <c r="G44" s="832">
        <v>1871879.064590006</v>
      </c>
      <c r="H44" s="832">
        <v>1853400.471288001</v>
      </c>
      <c r="I44" s="832">
        <v>1948441.7570440525</v>
      </c>
      <c r="J44" s="832">
        <v>1847920.00012202</v>
      </c>
      <c r="K44" s="833">
        <v>2263634.71357201</v>
      </c>
      <c r="L44" s="833">
        <v>2447179.653492</v>
      </c>
      <c r="M44" s="833">
        <v>2332860.6901320014</v>
      </c>
      <c r="N44" s="833">
        <v>2103276.7167799994</v>
      </c>
      <c r="O44" s="833">
        <v>1858439.9672919984</v>
      </c>
      <c r="P44" s="832">
        <v>1794935.416338001</v>
      </c>
      <c r="Q44" s="835">
        <f t="shared" si="8"/>
        <v>20356336.08965009</v>
      </c>
      <c r="R44" s="819"/>
      <c r="S44" s="774"/>
    </row>
    <row r="45" spans="1:19" ht="15.75" customHeight="1">
      <c r="A45" s="782" t="s">
        <v>947</v>
      </c>
      <c r="B45" s="829"/>
      <c r="C45" s="836" t="s">
        <v>36</v>
      </c>
      <c r="D45" s="831"/>
      <c r="E45" s="832">
        <v>2065757.0468678903</v>
      </c>
      <c r="F45" s="832">
        <v>2081223.749056</v>
      </c>
      <c r="G45" s="832">
        <v>1011545.5236369999</v>
      </c>
      <c r="H45" s="832">
        <v>453004.29376389977</v>
      </c>
      <c r="I45" s="832">
        <v>324707.17063589854</v>
      </c>
      <c r="J45" s="832">
        <v>445233.656909906</v>
      </c>
      <c r="K45" s="833">
        <v>314737.051909702</v>
      </c>
      <c r="L45" s="833">
        <v>469369.7491678997</v>
      </c>
      <c r="M45" s="833">
        <v>394732.5700127995</v>
      </c>
      <c r="N45" s="833">
        <v>335748.6481252001</v>
      </c>
      <c r="O45" s="833">
        <v>384045.69351390033</v>
      </c>
      <c r="P45" s="832">
        <v>468689.72309416044</v>
      </c>
      <c r="Q45" s="835">
        <f t="shared" si="8"/>
        <v>8748794.876694256</v>
      </c>
      <c r="R45" s="819"/>
      <c r="S45" s="774"/>
    </row>
    <row r="46" spans="1:19" s="775" customFormat="1" ht="15">
      <c r="A46" s="804" t="s">
        <v>945</v>
      </c>
      <c r="B46" s="1668" t="s">
        <v>948</v>
      </c>
      <c r="C46" s="1669"/>
      <c r="D46" s="826" t="s">
        <v>949</v>
      </c>
      <c r="E46" s="838">
        <f>E42/E$41</f>
        <v>0.9057737965271011</v>
      </c>
      <c r="F46" s="838">
        <f>F42/F$41</f>
        <v>0.8566149711740443</v>
      </c>
      <c r="G46" s="838">
        <f>G42/G$41</f>
        <v>1.027129598607326</v>
      </c>
      <c r="H46" s="838">
        <f>H42/H$41</f>
        <v>0.9046215878460738</v>
      </c>
      <c r="I46" s="838">
        <f>I42/I$41</f>
        <v>0.9803159696635232</v>
      </c>
      <c r="J46" s="838">
        <f>J42/J$41</f>
        <v>0.978553053956982</v>
      </c>
      <c r="K46" s="838">
        <f>K42/K$41</f>
        <v>0.9987547446011961</v>
      </c>
      <c r="L46" s="838">
        <f>L42/L$41</f>
        <v>1.049618898137858</v>
      </c>
      <c r="M46" s="838">
        <f>M42/M$41</f>
        <v>1.0056197961151225</v>
      </c>
      <c r="N46" s="838">
        <f>N42/N$41</f>
        <v>1.0450554841695268</v>
      </c>
      <c r="O46" s="838">
        <f>O42/O$41</f>
        <v>1.023156667528887</v>
      </c>
      <c r="P46" s="838">
        <f>P42/P$41</f>
        <v>1.0289508597976198</v>
      </c>
      <c r="Q46" s="839">
        <f>Q42/Q$41</f>
        <v>0.9803340239605771</v>
      </c>
      <c r="R46" s="787"/>
      <c r="S46" s="774"/>
    </row>
    <row r="47" spans="1:19" ht="14.25">
      <c r="A47" s="782" t="s">
        <v>950</v>
      </c>
      <c r="B47" s="829"/>
      <c r="C47" s="830" t="s">
        <v>37</v>
      </c>
      <c r="D47" s="831" t="s">
        <v>951</v>
      </c>
      <c r="E47" s="840">
        <f>E43/E$41</f>
        <v>0.6302443836103226</v>
      </c>
      <c r="F47" s="840">
        <f>F43/F$41</f>
        <v>0.5873524197393579</v>
      </c>
      <c r="G47" s="840">
        <f>G43/G$41</f>
        <v>0.6434775540652552</v>
      </c>
      <c r="H47" s="840">
        <f>H43/H$41</f>
        <v>0.6063837623627518</v>
      </c>
      <c r="I47" s="840">
        <f>I43/I$41</f>
        <v>0.6269557179720582</v>
      </c>
      <c r="J47" s="840">
        <f>J43/J$41</f>
        <v>0.6079904368970698</v>
      </c>
      <c r="K47" s="840">
        <f>K43/K$41</f>
        <v>0.6053350971956307</v>
      </c>
      <c r="L47" s="840">
        <f aca="true" t="shared" si="12" ref="L47:N48">L43/L$41</f>
        <v>0.6453590749490337</v>
      </c>
      <c r="M47" s="840">
        <f t="shared" si="12"/>
        <v>0.6349468897389567</v>
      </c>
      <c r="N47" s="840">
        <f t="shared" si="12"/>
        <v>0.6492977180432771</v>
      </c>
      <c r="O47" s="840">
        <f>O43/O$41</f>
        <v>0.6397381558927552</v>
      </c>
      <c r="P47" s="840">
        <f>P43/P$41</f>
        <v>0.6808248020434817</v>
      </c>
      <c r="Q47" s="841">
        <f>Q43/Q$41</f>
        <v>0.629093179773635</v>
      </c>
      <c r="S47" s="774"/>
    </row>
    <row r="48" spans="1:19" ht="14.25">
      <c r="A48" s="782" t="s">
        <v>952</v>
      </c>
      <c r="B48" s="829"/>
      <c r="C48" s="836" t="s">
        <v>38</v>
      </c>
      <c r="D48" s="831" t="s">
        <v>953</v>
      </c>
      <c r="E48" s="840">
        <f aca="true" t="shared" si="13" ref="E48:H49">E44/E$41</f>
        <v>0.0027409637694030473</v>
      </c>
      <c r="F48" s="840">
        <f t="shared" si="13"/>
        <v>0.0017495120371416276</v>
      </c>
      <c r="G48" s="840">
        <f t="shared" si="13"/>
        <v>0.2490615614494152</v>
      </c>
      <c r="H48" s="840">
        <f t="shared" si="13"/>
        <v>0.23966050308357686</v>
      </c>
      <c r="I48" s="840">
        <f>I44/I$41</f>
        <v>0.30288462902338464</v>
      </c>
      <c r="J48" s="840">
        <f>J44/J$41</f>
        <v>0.2986149965409995</v>
      </c>
      <c r="K48" s="840">
        <f>K44/K$41</f>
        <v>0.34539564185078525</v>
      </c>
      <c r="L48" s="840">
        <f t="shared" si="12"/>
        <v>0.3392009794621424</v>
      </c>
      <c r="M48" s="840">
        <f t="shared" si="12"/>
        <v>0.31702976569755514</v>
      </c>
      <c r="N48" s="840">
        <f t="shared" si="12"/>
        <v>0.34127898256218364</v>
      </c>
      <c r="O48" s="840">
        <f>O44/O$41</f>
        <v>0.3177546678127348</v>
      </c>
      <c r="P48" s="840">
        <f>P44/P$41</f>
        <v>0.276045613528475</v>
      </c>
      <c r="Q48" s="841">
        <f>Q44/Q$41</f>
        <v>0.2456603504361369</v>
      </c>
      <c r="S48" s="774"/>
    </row>
    <row r="49" spans="1:19" ht="14.25">
      <c r="A49" s="782" t="s">
        <v>954</v>
      </c>
      <c r="B49" s="829"/>
      <c r="C49" s="836" t="s">
        <v>39</v>
      </c>
      <c r="D49" s="831" t="s">
        <v>955</v>
      </c>
      <c r="E49" s="840">
        <f t="shared" si="13"/>
        <v>0.27278844914737543</v>
      </c>
      <c r="F49" s="840">
        <f t="shared" si="13"/>
        <v>0.2675130393975447</v>
      </c>
      <c r="G49" s="840">
        <f t="shared" si="13"/>
        <v>0.13459048309265578</v>
      </c>
      <c r="H49" s="840">
        <f t="shared" si="13"/>
        <v>0.05857732239974506</v>
      </c>
      <c r="I49" s="840">
        <f>I45/I$41</f>
        <v>0.0504756226680803</v>
      </c>
      <c r="J49" s="840">
        <f>J45/J$41</f>
        <v>0.07194762051891265</v>
      </c>
      <c r="K49" s="840">
        <f>K45/K$41</f>
        <v>0.048024005554780175</v>
      </c>
      <c r="L49" s="840">
        <f>L45/L$41</f>
        <v>0.06505884372668194</v>
      </c>
      <c r="M49" s="840">
        <f>M45/M$41</f>
        <v>0.05364314067861062</v>
      </c>
      <c r="N49" s="840">
        <f>N45/N$41</f>
        <v>0.054478783564065984</v>
      </c>
      <c r="O49" s="840">
        <f>O45/O$41</f>
        <v>0.06566384382339698</v>
      </c>
      <c r="P49" s="840">
        <f>P45/P$41</f>
        <v>0.07208044422566307</v>
      </c>
      <c r="Q49" s="841">
        <f>Q45/Q$41</f>
        <v>0.10558049375080512</v>
      </c>
      <c r="S49" s="774"/>
    </row>
    <row r="50" spans="1:19" s="775" customFormat="1" ht="15.75" thickBot="1">
      <c r="A50" s="842" t="s">
        <v>956</v>
      </c>
      <c r="B50" s="1670" t="s">
        <v>957</v>
      </c>
      <c r="C50" s="1671"/>
      <c r="D50" s="843"/>
      <c r="E50" s="844">
        <v>7779896.463152001</v>
      </c>
      <c r="F50" s="844">
        <v>7515728.455634</v>
      </c>
      <c r="G50" s="844">
        <v>7733441.461740002</v>
      </c>
      <c r="H50" s="844">
        <v>6432950.273265998</v>
      </c>
      <c r="I50" s="844">
        <v>6188302.736056</v>
      </c>
      <c r="J50" s="844">
        <v>6553744.284214001</v>
      </c>
      <c r="K50" s="844">
        <v>7214541.825239998</v>
      </c>
      <c r="L50" s="844">
        <v>7358491.039474001</v>
      </c>
      <c r="M50" s="844">
        <v>6162924.833488</v>
      </c>
      <c r="N50" s="844">
        <v>5848662.995525999</v>
      </c>
      <c r="O50" s="844">
        <v>6502314.575459999</v>
      </c>
      <c r="P50" s="844">
        <v>7458985.668321998</v>
      </c>
      <c r="Q50" s="845">
        <f>SUM(E50:P50)</f>
        <v>82749984.611572</v>
      </c>
      <c r="S50" s="774"/>
    </row>
    <row r="51" spans="1:19" ht="15.75" thickBot="1">
      <c r="A51" s="846"/>
      <c r="B51" s="847"/>
      <c r="C51" s="848"/>
      <c r="D51" s="849"/>
      <c r="E51" s="850"/>
      <c r="F51" s="851"/>
      <c r="G51" s="851"/>
      <c r="H51" s="851"/>
      <c r="I51" s="851"/>
      <c r="J51" s="851"/>
      <c r="K51" s="851"/>
      <c r="L51" s="851"/>
      <c r="M51" s="851"/>
      <c r="N51" s="851"/>
      <c r="O51" s="851"/>
      <c r="P51" s="851"/>
      <c r="Q51" s="852"/>
      <c r="S51" s="774"/>
    </row>
    <row r="52" spans="1:19" ht="15">
      <c r="A52" s="853">
        <v>1</v>
      </c>
      <c r="B52" s="1662" t="s">
        <v>958</v>
      </c>
      <c r="C52" s="1663"/>
      <c r="D52" s="772"/>
      <c r="E52" s="854">
        <v>1280126</v>
      </c>
      <c r="F52" s="854">
        <v>1283027</v>
      </c>
      <c r="G52" s="854">
        <v>1284215</v>
      </c>
      <c r="H52" s="854">
        <v>1285355</v>
      </c>
      <c r="I52" s="854">
        <v>1286788</v>
      </c>
      <c r="J52" s="854">
        <v>1289274</v>
      </c>
      <c r="K52" s="854">
        <v>1290878</v>
      </c>
      <c r="L52" s="854">
        <v>1293674</v>
      </c>
      <c r="M52" s="854">
        <v>1297846</v>
      </c>
      <c r="N52" s="854">
        <v>1300294</v>
      </c>
      <c r="O52" s="854">
        <v>1301049</v>
      </c>
      <c r="P52" s="854">
        <v>1301905</v>
      </c>
      <c r="Q52" s="855">
        <f>P52</f>
        <v>1301905</v>
      </c>
      <c r="R52" s="592"/>
      <c r="S52" s="774"/>
    </row>
    <row r="53" spans="1:19" ht="15">
      <c r="A53" s="856">
        <v>2</v>
      </c>
      <c r="B53" s="1664" t="s">
        <v>40</v>
      </c>
      <c r="C53" s="1665"/>
      <c r="D53" s="857"/>
      <c r="E53" s="858">
        <v>967388</v>
      </c>
      <c r="F53" s="858">
        <v>985832</v>
      </c>
      <c r="G53" s="858">
        <v>990066</v>
      </c>
      <c r="H53" s="858">
        <v>992115</v>
      </c>
      <c r="I53" s="858">
        <v>1019767</v>
      </c>
      <c r="J53" s="858">
        <v>1020896</v>
      </c>
      <c r="K53" s="858">
        <v>1024962</v>
      </c>
      <c r="L53" s="858">
        <v>1046115</v>
      </c>
      <c r="M53" s="858">
        <v>1037194</v>
      </c>
      <c r="N53" s="858">
        <v>1027689</v>
      </c>
      <c r="O53" s="858">
        <v>1019074</v>
      </c>
      <c r="P53" s="858">
        <v>1017461</v>
      </c>
      <c r="Q53" s="859">
        <f>SUM(E53:P53)</f>
        <v>12148559</v>
      </c>
      <c r="R53" s="819"/>
      <c r="S53" s="774"/>
    </row>
    <row r="54" spans="1:19" ht="15">
      <c r="A54" s="856">
        <v>3</v>
      </c>
      <c r="B54" s="1664" t="s">
        <v>41</v>
      </c>
      <c r="C54" s="1665"/>
      <c r="D54" s="785"/>
      <c r="E54" s="858"/>
      <c r="F54" s="860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9">
        <f>SUM(E54:P54)</f>
        <v>0</v>
      </c>
      <c r="S54" s="774"/>
    </row>
    <row r="55" spans="1:19" ht="15">
      <c r="A55" s="856">
        <v>4</v>
      </c>
      <c r="B55" s="1664" t="s">
        <v>42</v>
      </c>
      <c r="C55" s="1665"/>
      <c r="D55" s="785"/>
      <c r="E55" s="858">
        <v>316389</v>
      </c>
      <c r="F55" s="858">
        <v>291426</v>
      </c>
      <c r="G55" s="858">
        <v>288450</v>
      </c>
      <c r="H55" s="858">
        <v>298695</v>
      </c>
      <c r="I55" s="858">
        <v>274240</v>
      </c>
      <c r="J55" s="858">
        <v>276332</v>
      </c>
      <c r="K55" s="858">
        <v>273902</v>
      </c>
      <c r="L55" s="858">
        <v>256191</v>
      </c>
      <c r="M55" s="858">
        <v>268610</v>
      </c>
      <c r="N55" s="858">
        <v>285060</v>
      </c>
      <c r="O55" s="858">
        <v>290317</v>
      </c>
      <c r="P55" s="858">
        <v>292105</v>
      </c>
      <c r="Q55" s="859">
        <f>SUM(E55:P55)</f>
        <v>3411717</v>
      </c>
      <c r="S55" s="774"/>
    </row>
    <row r="56" spans="1:19" ht="15">
      <c r="A56" s="856">
        <v>5</v>
      </c>
      <c r="B56" s="1664" t="s">
        <v>43</v>
      </c>
      <c r="C56" s="1665"/>
      <c r="D56" s="785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9">
        <f>SUM(E56:P56)</f>
        <v>0</v>
      </c>
      <c r="S56" s="774"/>
    </row>
    <row r="57" spans="1:19" ht="15">
      <c r="A57" s="856">
        <v>6</v>
      </c>
      <c r="B57" s="1664" t="s">
        <v>44</v>
      </c>
      <c r="C57" s="1665"/>
      <c r="D57" s="785"/>
      <c r="E57" s="858"/>
      <c r="F57" s="858"/>
      <c r="G57" s="858"/>
      <c r="H57" s="858">
        <v>0</v>
      </c>
      <c r="I57" s="858">
        <v>0</v>
      </c>
      <c r="J57" s="858">
        <v>0</v>
      </c>
      <c r="K57" s="858"/>
      <c r="L57" s="858"/>
      <c r="M57" s="858"/>
      <c r="N57" s="858"/>
      <c r="O57" s="858"/>
      <c r="P57" s="858"/>
      <c r="Q57" s="859">
        <f>SUM(E57:P57)</f>
        <v>0</v>
      </c>
      <c r="S57" s="774"/>
    </row>
    <row r="58" spans="1:19" ht="15">
      <c r="A58" s="856">
        <v>7</v>
      </c>
      <c r="B58" s="1664" t="s">
        <v>45</v>
      </c>
      <c r="C58" s="1665"/>
      <c r="D58" s="785"/>
      <c r="E58" s="858">
        <v>359</v>
      </c>
      <c r="F58" s="858">
        <v>138</v>
      </c>
      <c r="G58" s="858">
        <v>144</v>
      </c>
      <c r="H58" s="858">
        <v>93</v>
      </c>
      <c r="I58" s="858">
        <v>66</v>
      </c>
      <c r="J58" s="858">
        <v>136</v>
      </c>
      <c r="K58" s="858">
        <v>111</v>
      </c>
      <c r="L58" s="860">
        <v>152</v>
      </c>
      <c r="M58" s="858">
        <v>78</v>
      </c>
      <c r="N58" s="860">
        <v>109</v>
      </c>
      <c r="O58" s="858">
        <v>160</v>
      </c>
      <c r="P58" s="858">
        <v>331</v>
      </c>
      <c r="Q58" s="859">
        <f>SUM(E58:P58)</f>
        <v>1877</v>
      </c>
      <c r="S58" s="774"/>
    </row>
    <row r="59" spans="1:19" ht="15">
      <c r="A59" s="856">
        <v>8</v>
      </c>
      <c r="B59" s="1664" t="s">
        <v>959</v>
      </c>
      <c r="C59" s="1665"/>
      <c r="D59" s="785"/>
      <c r="E59" s="860">
        <v>2130.2400000000002</v>
      </c>
      <c r="F59" s="858">
        <v>3675.8999999999996</v>
      </c>
      <c r="G59" s="858">
        <v>1769.28</v>
      </c>
      <c r="H59" s="858">
        <v>1050.9</v>
      </c>
      <c r="I59" s="858">
        <v>378.36</v>
      </c>
      <c r="J59" s="858">
        <v>913.8</v>
      </c>
      <c r="K59" s="858">
        <v>3406.92</v>
      </c>
      <c r="L59" s="860">
        <v>3562.6200000000013</v>
      </c>
      <c r="M59" s="858">
        <v>1458.12</v>
      </c>
      <c r="N59" s="858">
        <v>1428.3</v>
      </c>
      <c r="O59" s="858">
        <v>1098.06</v>
      </c>
      <c r="P59" s="858">
        <v>4342.08</v>
      </c>
      <c r="Q59" s="859">
        <f>SUM(E59:P59)</f>
        <v>25214.58</v>
      </c>
      <c r="S59" s="774"/>
    </row>
    <row r="60" spans="1:19" ht="15">
      <c r="A60" s="856">
        <v>9</v>
      </c>
      <c r="B60" s="1687" t="s">
        <v>46</v>
      </c>
      <c r="C60" s="1688"/>
      <c r="D60" s="831"/>
      <c r="E60" s="861">
        <v>345557</v>
      </c>
      <c r="F60" s="861">
        <v>333648</v>
      </c>
      <c r="G60" s="861">
        <v>411043</v>
      </c>
      <c r="H60" s="861">
        <v>380846</v>
      </c>
      <c r="I60" s="861">
        <v>354068</v>
      </c>
      <c r="J60" s="861">
        <v>398448</v>
      </c>
      <c r="K60" s="861">
        <v>408518</v>
      </c>
      <c r="L60" s="861">
        <v>512610</v>
      </c>
      <c r="M60" s="861">
        <v>397080</v>
      </c>
      <c r="N60" s="861">
        <v>366901</v>
      </c>
      <c r="O60" s="861">
        <v>368316</v>
      </c>
      <c r="P60" s="861">
        <v>382788</v>
      </c>
      <c r="Q60" s="862">
        <f>SUM(E60:P60)</f>
        <v>4659823</v>
      </c>
      <c r="S60" s="774"/>
    </row>
    <row r="61" spans="1:19" ht="15.75" thickBot="1">
      <c r="A61" s="863">
        <v>10</v>
      </c>
      <c r="B61" s="1685" t="s">
        <v>47</v>
      </c>
      <c r="C61" s="1686"/>
      <c r="D61" s="843"/>
      <c r="E61" s="864">
        <v>67503.7942199</v>
      </c>
      <c r="F61" s="864">
        <v>58047.4433290001</v>
      </c>
      <c r="G61" s="864">
        <v>77908.267445</v>
      </c>
      <c r="H61" s="864">
        <v>85767.695</v>
      </c>
      <c r="I61" s="864">
        <v>69338.1410908999</v>
      </c>
      <c r="J61" s="865">
        <v>88303.4252409</v>
      </c>
      <c r="K61" s="864">
        <v>88052.9633707001</v>
      </c>
      <c r="L61" s="865">
        <v>161579.6277199</v>
      </c>
      <c r="M61" s="864">
        <v>114913.08201079992</v>
      </c>
      <c r="N61" s="864">
        <v>89819.65308319998</v>
      </c>
      <c r="O61" s="865">
        <v>264954.2010789</v>
      </c>
      <c r="P61" s="864">
        <v>208284.76588816</v>
      </c>
      <c r="Q61" s="866">
        <f>SUM(E61:P61)</f>
        <v>1374473.05947736</v>
      </c>
      <c r="R61" s="593"/>
      <c r="S61" s="774"/>
    </row>
    <row r="62" spans="4:14" ht="15">
      <c r="D62" s="1015"/>
      <c r="E62" s="226"/>
      <c r="F62" s="226"/>
      <c r="G62" s="226"/>
      <c r="H62" s="226"/>
      <c r="I62" s="226"/>
      <c r="J62" s="226"/>
      <c r="K62" s="226"/>
      <c r="L62" s="226"/>
      <c r="M62" s="226"/>
      <c r="N62" s="226"/>
    </row>
    <row r="63" spans="4:17" ht="15">
      <c r="D63" s="1015"/>
      <c r="E63" s="869"/>
      <c r="F63" s="869"/>
      <c r="G63" s="869"/>
      <c r="H63" s="1656" t="s">
        <v>1229</v>
      </c>
      <c r="I63" s="1657"/>
      <c r="J63" s="1657"/>
      <c r="K63" s="1657"/>
      <c r="L63" s="1657"/>
      <c r="M63" s="1657"/>
      <c r="N63" s="1657"/>
      <c r="O63" s="1657"/>
      <c r="P63" s="1657"/>
      <c r="Q63" s="1657"/>
    </row>
    <row r="64" ht="15">
      <c r="D64" s="1015"/>
    </row>
  </sheetData>
  <sheetProtection/>
  <mergeCells count="30">
    <mergeCell ref="B58:C58"/>
    <mergeCell ref="B59:C59"/>
    <mergeCell ref="B60:C60"/>
    <mergeCell ref="A1:D1"/>
    <mergeCell ref="B2:C2"/>
    <mergeCell ref="B3:C3"/>
    <mergeCell ref="B11:C11"/>
    <mergeCell ref="B12:C12"/>
    <mergeCell ref="B30:C30"/>
    <mergeCell ref="B16:C16"/>
    <mergeCell ref="B17:C17"/>
    <mergeCell ref="B21:C21"/>
    <mergeCell ref="B25:C25"/>
    <mergeCell ref="B26:C26"/>
    <mergeCell ref="H63:Q63"/>
    <mergeCell ref="B34:C34"/>
    <mergeCell ref="B35:C35"/>
    <mergeCell ref="B41:C41"/>
    <mergeCell ref="B52:C52"/>
    <mergeCell ref="B53:C53"/>
    <mergeCell ref="B36:C36"/>
    <mergeCell ref="B39:C39"/>
    <mergeCell ref="B42:C42"/>
    <mergeCell ref="B46:C46"/>
    <mergeCell ref="B50:C50"/>
    <mergeCell ref="B55:C55"/>
    <mergeCell ref="B54:C54"/>
    <mergeCell ref="B61:C61"/>
    <mergeCell ref="B56:C56"/>
    <mergeCell ref="B57:C57"/>
  </mergeCells>
  <printOptions/>
  <pageMargins left="0.7" right="0.7" top="0.75" bottom="0.75" header="0.3" footer="0.3"/>
  <pageSetup fitToHeight="1" fitToWidth="1" orientation="landscape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60" zoomScaleNormal="130" zoomScalePageLayoutView="0" workbookViewId="0" topLeftCell="A1">
      <selection activeCell="A1" sqref="A1:IV65536"/>
    </sheetView>
  </sheetViews>
  <sheetFormatPr defaultColWidth="9.140625" defaultRowHeight="15"/>
  <cols>
    <col min="1" max="1" width="5.8515625" style="321" bestFit="1" customWidth="1"/>
    <col min="2" max="14" width="7.7109375" style="321" customWidth="1"/>
    <col min="15" max="243" width="9.140625" style="321" customWidth="1"/>
    <col min="244" max="244" width="5.57421875" style="321" bestFit="1" customWidth="1"/>
    <col min="245" max="245" width="6.8515625" style="321" bestFit="1" customWidth="1"/>
    <col min="246" max="246" width="7.00390625" style="321" bestFit="1" customWidth="1"/>
    <col min="247" max="247" width="5.421875" style="321" bestFit="1" customWidth="1"/>
    <col min="248" max="248" width="6.8515625" style="321" bestFit="1" customWidth="1"/>
    <col min="249" max="250" width="6.8515625" style="321" customWidth="1"/>
    <col min="251" max="251" width="6.57421875" style="321" customWidth="1"/>
    <col min="252" max="16384" width="6.8515625" style="321" customWidth="1"/>
  </cols>
  <sheetData>
    <row r="1" spans="1:14" ht="13.5" customHeight="1">
      <c r="A1" s="1999" t="s">
        <v>1056</v>
      </c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1"/>
    </row>
    <row r="2" spans="1:14" ht="15.75" customHeight="1" thickBot="1">
      <c r="A2" s="2002" t="s">
        <v>405</v>
      </c>
      <c r="B2" s="2003"/>
      <c r="C2" s="2004" t="s">
        <v>406</v>
      </c>
      <c r="D2" s="2004"/>
      <c r="E2" s="881"/>
      <c r="F2" s="881"/>
      <c r="G2" s="881"/>
      <c r="H2" s="881"/>
      <c r="I2" s="881"/>
      <c r="J2" s="881"/>
      <c r="K2" s="882"/>
      <c r="L2" s="882"/>
      <c r="M2" s="882"/>
      <c r="N2" s="883"/>
    </row>
    <row r="3" spans="1:14" ht="10.5">
      <c r="A3" s="644" t="s">
        <v>407</v>
      </c>
      <c r="B3" s="645" t="s">
        <v>12</v>
      </c>
      <c r="C3" s="645" t="s">
        <v>13</v>
      </c>
      <c r="D3" s="645" t="s">
        <v>14</v>
      </c>
      <c r="E3" s="645" t="s">
        <v>15</v>
      </c>
      <c r="F3" s="645" t="s">
        <v>16</v>
      </c>
      <c r="G3" s="645" t="s">
        <v>17</v>
      </c>
      <c r="H3" s="645" t="s">
        <v>18</v>
      </c>
      <c r="I3" s="645" t="s">
        <v>19</v>
      </c>
      <c r="J3" s="645" t="s">
        <v>20</v>
      </c>
      <c r="K3" s="645" t="s">
        <v>21</v>
      </c>
      <c r="L3" s="645" t="s">
        <v>22</v>
      </c>
      <c r="M3" s="645" t="s">
        <v>23</v>
      </c>
      <c r="N3" s="646">
        <v>2022</v>
      </c>
    </row>
    <row r="4" spans="1:14" ht="13.5">
      <c r="A4" s="647">
        <v>1</v>
      </c>
      <c r="B4" s="648">
        <v>-222</v>
      </c>
      <c r="C4" s="648">
        <v>-135</v>
      </c>
      <c r="D4" s="648">
        <v>-85</v>
      </c>
      <c r="E4" s="649">
        <v>440</v>
      </c>
      <c r="F4" s="653">
        <v>256</v>
      </c>
      <c r="G4" s="653">
        <v>141</v>
      </c>
      <c r="H4" s="524">
        <v>-83</v>
      </c>
      <c r="I4" s="524">
        <v>440</v>
      </c>
      <c r="J4" s="913">
        <v>-44.11549650000001</v>
      </c>
      <c r="K4" s="913">
        <v>54.82583011000012</v>
      </c>
      <c r="L4" s="913">
        <v>-93.16814994999991</v>
      </c>
      <c r="M4" s="913">
        <v>252.54248889000036</v>
      </c>
      <c r="N4" s="914">
        <f>SUM(B4:M4)</f>
        <v>922.0846725500005</v>
      </c>
    </row>
    <row r="5" spans="1:14" ht="13.5">
      <c r="A5" s="647">
        <v>2</v>
      </c>
      <c r="B5" s="648">
        <v>3</v>
      </c>
      <c r="C5" s="648">
        <v>-27</v>
      </c>
      <c r="D5" s="648">
        <v>461</v>
      </c>
      <c r="E5" s="649">
        <v>238</v>
      </c>
      <c r="F5" s="653">
        <v>322</v>
      </c>
      <c r="G5" s="653">
        <v>-5</v>
      </c>
      <c r="H5" s="524">
        <v>108</v>
      </c>
      <c r="I5" s="524">
        <v>185</v>
      </c>
      <c r="J5" s="913">
        <v>47.3104957500003</v>
      </c>
      <c r="K5" s="913">
        <v>34.159957470000144</v>
      </c>
      <c r="L5" s="913">
        <v>-73.44603510000009</v>
      </c>
      <c r="M5" s="913">
        <v>145.32540143000003</v>
      </c>
      <c r="N5" s="914">
        <f aca="true" t="shared" si="0" ref="N5:N35">SUM(B5:M5)</f>
        <v>1438.3498195500003</v>
      </c>
    </row>
    <row r="6" spans="1:14" ht="13.5">
      <c r="A6" s="647">
        <v>3</v>
      </c>
      <c r="B6" s="648">
        <v>136</v>
      </c>
      <c r="C6" s="648">
        <v>217</v>
      </c>
      <c r="D6" s="648">
        <v>-338</v>
      </c>
      <c r="E6" s="649">
        <v>-258</v>
      </c>
      <c r="F6" s="653">
        <v>-26</v>
      </c>
      <c r="G6" s="653">
        <v>356</v>
      </c>
      <c r="H6" s="524">
        <v>163</v>
      </c>
      <c r="I6" s="524">
        <v>-56</v>
      </c>
      <c r="J6" s="913">
        <v>115.13917900000021</v>
      </c>
      <c r="K6" s="913">
        <v>89.36896831999994</v>
      </c>
      <c r="L6" s="913">
        <v>-90.21891712999985</v>
      </c>
      <c r="M6" s="913">
        <v>148.66369031</v>
      </c>
      <c r="N6" s="914">
        <f t="shared" si="0"/>
        <v>456.9529205000003</v>
      </c>
    </row>
    <row r="7" spans="1:14" ht="13.5">
      <c r="A7" s="647">
        <v>4</v>
      </c>
      <c r="B7" s="648">
        <v>-577</v>
      </c>
      <c r="C7" s="648">
        <v>161</v>
      </c>
      <c r="D7" s="648">
        <v>-62</v>
      </c>
      <c r="E7" s="649">
        <v>-1851</v>
      </c>
      <c r="F7" s="653">
        <v>-143</v>
      </c>
      <c r="G7" s="653">
        <v>333</v>
      </c>
      <c r="H7" s="524">
        <v>-322</v>
      </c>
      <c r="I7" s="524">
        <v>-22</v>
      </c>
      <c r="J7" s="913">
        <v>349.27677475000013</v>
      </c>
      <c r="K7" s="913">
        <v>-137.25794770999988</v>
      </c>
      <c r="L7" s="913">
        <v>16.099255790000182</v>
      </c>
      <c r="M7" s="913">
        <v>195.9443178100003</v>
      </c>
      <c r="N7" s="914">
        <f t="shared" si="0"/>
        <v>-2058.937599359999</v>
      </c>
    </row>
    <row r="8" spans="1:14" ht="13.5">
      <c r="A8" s="647">
        <v>5</v>
      </c>
      <c r="B8" s="648">
        <v>-131</v>
      </c>
      <c r="C8" s="648">
        <v>-9</v>
      </c>
      <c r="D8" s="648">
        <v>-561</v>
      </c>
      <c r="E8" s="649">
        <v>-19</v>
      </c>
      <c r="F8" s="653">
        <v>-274</v>
      </c>
      <c r="G8" s="653">
        <v>161</v>
      </c>
      <c r="H8" s="524">
        <v>-282</v>
      </c>
      <c r="I8" s="524">
        <v>82</v>
      </c>
      <c r="J8" s="913">
        <v>92.12994349999958</v>
      </c>
      <c r="K8" s="913">
        <v>-57.006590970000076</v>
      </c>
      <c r="L8" s="913">
        <v>-144.74782537999982</v>
      </c>
      <c r="M8" s="913">
        <v>138.8175581800001</v>
      </c>
      <c r="N8" s="914">
        <f t="shared" si="0"/>
        <v>-1003.8069146700002</v>
      </c>
    </row>
    <row r="9" spans="1:14" ht="13.5">
      <c r="A9" s="647">
        <v>6</v>
      </c>
      <c r="B9" s="648">
        <v>137</v>
      </c>
      <c r="C9" s="648">
        <v>327</v>
      </c>
      <c r="D9" s="648">
        <v>-1124</v>
      </c>
      <c r="E9" s="649">
        <v>-116</v>
      </c>
      <c r="F9" s="653">
        <v>33</v>
      </c>
      <c r="G9" s="653">
        <v>-139</v>
      </c>
      <c r="H9" s="524">
        <v>279</v>
      </c>
      <c r="I9" s="524">
        <v>-68</v>
      </c>
      <c r="J9" s="913">
        <v>-58.169772749999424</v>
      </c>
      <c r="K9" s="913">
        <v>-30.086554790000037</v>
      </c>
      <c r="L9" s="913">
        <v>134.03548747000025</v>
      </c>
      <c r="M9" s="913">
        <v>193.51466013999988</v>
      </c>
      <c r="N9" s="914">
        <f t="shared" si="0"/>
        <v>-431.70617992999934</v>
      </c>
    </row>
    <row r="10" spans="1:14" ht="13.5">
      <c r="A10" s="647">
        <v>7</v>
      </c>
      <c r="B10" s="648">
        <v>-157</v>
      </c>
      <c r="C10" s="648">
        <v>693</v>
      </c>
      <c r="D10" s="648">
        <v>-573</v>
      </c>
      <c r="E10" s="649">
        <v>276</v>
      </c>
      <c r="F10" s="653">
        <v>178</v>
      </c>
      <c r="G10" s="653">
        <v>-143</v>
      </c>
      <c r="H10" s="524">
        <v>-32</v>
      </c>
      <c r="I10" s="524">
        <v>135</v>
      </c>
      <c r="J10" s="913">
        <v>98.90958925000055</v>
      </c>
      <c r="K10" s="913">
        <v>-2.349251749999981</v>
      </c>
      <c r="L10" s="913">
        <v>193.96527259000018</v>
      </c>
      <c r="M10" s="913">
        <v>243.39154353999996</v>
      </c>
      <c r="N10" s="914">
        <f t="shared" si="0"/>
        <v>910.9171536300006</v>
      </c>
    </row>
    <row r="11" spans="1:18" ht="13.5">
      <c r="A11" s="647">
        <v>8</v>
      </c>
      <c r="B11" s="648">
        <v>-126</v>
      </c>
      <c r="C11" s="648">
        <v>933</v>
      </c>
      <c r="D11" s="648">
        <v>-277</v>
      </c>
      <c r="E11" s="649">
        <v>254</v>
      </c>
      <c r="F11" s="653">
        <v>458</v>
      </c>
      <c r="G11" s="653">
        <v>-45</v>
      </c>
      <c r="H11" s="524">
        <v>224</v>
      </c>
      <c r="I11" s="524">
        <v>-356</v>
      </c>
      <c r="J11" s="913">
        <v>41.79377174999974</v>
      </c>
      <c r="K11" s="913">
        <v>16.57973133000007</v>
      </c>
      <c r="L11" s="913">
        <v>112.41601004000051</v>
      </c>
      <c r="M11" s="913">
        <v>317.6338869799999</v>
      </c>
      <c r="N11" s="914">
        <f t="shared" si="0"/>
        <v>1553.4234001000002</v>
      </c>
      <c r="R11" s="523"/>
    </row>
    <row r="12" spans="1:14" ht="13.5">
      <c r="A12" s="647">
        <v>9</v>
      </c>
      <c r="B12" s="648">
        <v>4</v>
      </c>
      <c r="C12" s="648">
        <v>-577</v>
      </c>
      <c r="D12" s="648">
        <v>-294</v>
      </c>
      <c r="E12" s="649">
        <v>585</v>
      </c>
      <c r="F12" s="653">
        <v>429</v>
      </c>
      <c r="G12" s="653">
        <v>562</v>
      </c>
      <c r="H12" s="524">
        <v>422</v>
      </c>
      <c r="I12" s="524">
        <v>-172</v>
      </c>
      <c r="J12" s="913">
        <v>12.30680000000008</v>
      </c>
      <c r="K12" s="913">
        <v>-126.34314104000002</v>
      </c>
      <c r="L12" s="913">
        <v>-114.32371705999977</v>
      </c>
      <c r="M12" s="913">
        <v>98.52295230999954</v>
      </c>
      <c r="N12" s="914">
        <f t="shared" si="0"/>
        <v>829.1628942099999</v>
      </c>
    </row>
    <row r="13" spans="1:14" ht="13.5">
      <c r="A13" s="647">
        <v>10</v>
      </c>
      <c r="B13" s="648">
        <v>-425</v>
      </c>
      <c r="C13" s="648">
        <v>-70</v>
      </c>
      <c r="D13" s="648">
        <v>-157</v>
      </c>
      <c r="E13" s="649">
        <v>237</v>
      </c>
      <c r="F13" s="653">
        <v>3</v>
      </c>
      <c r="G13" s="653">
        <v>64</v>
      </c>
      <c r="H13" s="524">
        <v>371</v>
      </c>
      <c r="I13" s="524">
        <v>357</v>
      </c>
      <c r="J13" s="913">
        <v>168.90691700000028</v>
      </c>
      <c r="K13" s="913">
        <v>-36.07535090000003</v>
      </c>
      <c r="L13" s="913">
        <v>-4.358947159999758</v>
      </c>
      <c r="M13" s="913">
        <v>163.38393287999958</v>
      </c>
      <c r="N13" s="914">
        <f t="shared" si="0"/>
        <v>671.85655182</v>
      </c>
    </row>
    <row r="14" spans="1:14" ht="13.5">
      <c r="A14" s="647">
        <v>11</v>
      </c>
      <c r="B14" s="648">
        <v>-61</v>
      </c>
      <c r="C14" s="648">
        <v>272</v>
      </c>
      <c r="D14" s="648">
        <v>-90</v>
      </c>
      <c r="E14" s="649">
        <v>-266</v>
      </c>
      <c r="F14" s="653">
        <v>-65</v>
      </c>
      <c r="G14" s="653">
        <v>507</v>
      </c>
      <c r="H14" s="524">
        <v>24</v>
      </c>
      <c r="I14" s="524">
        <v>139</v>
      </c>
      <c r="J14" s="913">
        <v>257.02672075</v>
      </c>
      <c r="K14" s="913">
        <v>-88.03193607999984</v>
      </c>
      <c r="L14" s="913">
        <v>186.80737640999996</v>
      </c>
      <c r="M14" s="913">
        <v>978.0428632999998</v>
      </c>
      <c r="N14" s="914">
        <f t="shared" si="0"/>
        <v>1793.8450243799998</v>
      </c>
    </row>
    <row r="15" spans="1:14" ht="13.5">
      <c r="A15" s="647">
        <v>12</v>
      </c>
      <c r="B15" s="648">
        <v>-343</v>
      </c>
      <c r="C15" s="648">
        <v>564</v>
      </c>
      <c r="D15" s="648">
        <v>-136</v>
      </c>
      <c r="E15" s="649">
        <v>-109</v>
      </c>
      <c r="F15" s="653">
        <v>-152</v>
      </c>
      <c r="G15" s="653">
        <v>-43</v>
      </c>
      <c r="H15" s="524">
        <v>-6</v>
      </c>
      <c r="I15" s="524">
        <v>190</v>
      </c>
      <c r="J15" s="913">
        <v>184.5668804999998</v>
      </c>
      <c r="K15" s="913">
        <v>-82.37718093000014</v>
      </c>
      <c r="L15" s="913">
        <v>146.50656398999988</v>
      </c>
      <c r="M15" s="913">
        <v>-26.167092800000262</v>
      </c>
      <c r="N15" s="914">
        <f t="shared" si="0"/>
        <v>187.52917075999926</v>
      </c>
    </row>
    <row r="16" spans="1:14" ht="13.5">
      <c r="A16" s="647">
        <v>13</v>
      </c>
      <c r="B16" s="648">
        <v>-52</v>
      </c>
      <c r="C16" s="648">
        <v>180</v>
      </c>
      <c r="D16" s="648">
        <v>-232</v>
      </c>
      <c r="E16" s="649">
        <v>-92</v>
      </c>
      <c r="F16" s="653">
        <v>209</v>
      </c>
      <c r="G16" s="653">
        <v>-9</v>
      </c>
      <c r="H16" s="524">
        <v>-68</v>
      </c>
      <c r="I16" s="524">
        <v>39</v>
      </c>
      <c r="J16" s="913">
        <v>-156.16061375000024</v>
      </c>
      <c r="K16" s="913">
        <v>-137.17664476999988</v>
      </c>
      <c r="L16" s="913">
        <v>122.49652859000034</v>
      </c>
      <c r="M16" s="913">
        <v>-194.3517731599997</v>
      </c>
      <c r="N16" s="914">
        <f t="shared" si="0"/>
        <v>-390.1925030899995</v>
      </c>
    </row>
    <row r="17" spans="1:14" ht="13.5">
      <c r="A17" s="647">
        <v>14</v>
      </c>
      <c r="B17" s="648">
        <v>-429</v>
      </c>
      <c r="C17" s="648">
        <v>297</v>
      </c>
      <c r="D17" s="648">
        <v>346</v>
      </c>
      <c r="E17" s="649">
        <v>223</v>
      </c>
      <c r="F17" s="653">
        <v>401</v>
      </c>
      <c r="G17" s="653">
        <v>105</v>
      </c>
      <c r="H17" s="524">
        <v>-216</v>
      </c>
      <c r="I17" s="524">
        <v>432</v>
      </c>
      <c r="J17" s="913">
        <v>9.349658999999665</v>
      </c>
      <c r="K17" s="913">
        <v>107.85927996</v>
      </c>
      <c r="L17" s="913">
        <v>98.25559164000002</v>
      </c>
      <c r="M17" s="913">
        <v>103.91337781000038</v>
      </c>
      <c r="N17" s="914">
        <f t="shared" si="0"/>
        <v>1478.3779084100001</v>
      </c>
    </row>
    <row r="18" spans="1:14" ht="13.5">
      <c r="A18" s="647">
        <v>15</v>
      </c>
      <c r="B18" s="648">
        <v>332</v>
      </c>
      <c r="C18" s="648">
        <v>64</v>
      </c>
      <c r="D18" s="648">
        <v>413</v>
      </c>
      <c r="E18" s="649">
        <v>449</v>
      </c>
      <c r="F18" s="653">
        <v>313</v>
      </c>
      <c r="G18" s="653">
        <v>235</v>
      </c>
      <c r="H18" s="524">
        <v>-9</v>
      </c>
      <c r="I18" s="524">
        <v>283</v>
      </c>
      <c r="J18" s="913">
        <v>-68.18016799999957</v>
      </c>
      <c r="K18" s="913">
        <v>61.885719180000564</v>
      </c>
      <c r="L18" s="913">
        <v>101.09117656999987</v>
      </c>
      <c r="M18" s="913">
        <v>280.6852088599999</v>
      </c>
      <c r="N18" s="914">
        <f t="shared" si="0"/>
        <v>2455.4819366100005</v>
      </c>
    </row>
    <row r="19" spans="1:14" ht="13.5">
      <c r="A19" s="647">
        <v>16</v>
      </c>
      <c r="B19" s="648">
        <v>-3</v>
      </c>
      <c r="C19" s="648">
        <v>-148</v>
      </c>
      <c r="D19" s="648">
        <v>41</v>
      </c>
      <c r="E19" s="649">
        <v>348</v>
      </c>
      <c r="F19" s="653">
        <v>-347</v>
      </c>
      <c r="G19" s="653">
        <v>85</v>
      </c>
      <c r="H19" s="524">
        <v>-52</v>
      </c>
      <c r="I19" s="524">
        <v>-87</v>
      </c>
      <c r="J19" s="913">
        <v>96.9743727499998</v>
      </c>
      <c r="K19" s="913">
        <v>-60.67689806999976</v>
      </c>
      <c r="L19" s="913">
        <v>48.951906819999934</v>
      </c>
      <c r="M19" s="913">
        <v>775.7976735999994</v>
      </c>
      <c r="N19" s="914">
        <f t="shared" si="0"/>
        <v>698.0470550999994</v>
      </c>
    </row>
    <row r="20" spans="1:14" ht="13.5">
      <c r="A20" s="647">
        <v>17</v>
      </c>
      <c r="B20" s="648">
        <v>-64</v>
      </c>
      <c r="C20" s="648">
        <v>638</v>
      </c>
      <c r="D20" s="648">
        <v>-6</v>
      </c>
      <c r="E20" s="649">
        <v>363</v>
      </c>
      <c r="F20" s="653">
        <v>16</v>
      </c>
      <c r="G20" s="653">
        <v>124</v>
      </c>
      <c r="H20" s="524">
        <v>143</v>
      </c>
      <c r="I20" s="524">
        <v>24</v>
      </c>
      <c r="J20" s="913">
        <v>-52.4574879999998</v>
      </c>
      <c r="K20" s="913">
        <v>-67.50818979000027</v>
      </c>
      <c r="L20" s="913">
        <v>491.1868216700006</v>
      </c>
      <c r="M20" s="913">
        <v>518.6811454999997</v>
      </c>
      <c r="N20" s="914">
        <f t="shared" si="0"/>
        <v>2127.90228938</v>
      </c>
    </row>
    <row r="21" spans="1:14" ht="13.5">
      <c r="A21" s="647">
        <v>18</v>
      </c>
      <c r="B21" s="648">
        <v>133</v>
      </c>
      <c r="C21" s="648">
        <v>447</v>
      </c>
      <c r="D21" s="648">
        <v>-29</v>
      </c>
      <c r="E21" s="649">
        <v>-226</v>
      </c>
      <c r="F21" s="653">
        <v>195</v>
      </c>
      <c r="G21" s="653">
        <v>633</v>
      </c>
      <c r="H21" s="524">
        <v>-232</v>
      </c>
      <c r="I21" s="524">
        <v>-20</v>
      </c>
      <c r="J21" s="913">
        <v>227.71154275000046</v>
      </c>
      <c r="K21" s="913">
        <v>-30.82692434000006</v>
      </c>
      <c r="L21" s="913">
        <v>387.81137077999983</v>
      </c>
      <c r="M21" s="913">
        <v>591.59091966</v>
      </c>
      <c r="N21" s="914">
        <f t="shared" si="0"/>
        <v>2077.28690885</v>
      </c>
    </row>
    <row r="22" spans="1:14" ht="13.5">
      <c r="A22" s="647">
        <v>19</v>
      </c>
      <c r="B22" s="648">
        <v>-167</v>
      </c>
      <c r="C22" s="648">
        <v>288</v>
      </c>
      <c r="D22" s="648">
        <v>252</v>
      </c>
      <c r="E22" s="649">
        <v>-94</v>
      </c>
      <c r="F22" s="653">
        <v>102</v>
      </c>
      <c r="G22" s="653">
        <v>476</v>
      </c>
      <c r="H22" s="524">
        <v>-168</v>
      </c>
      <c r="I22" s="524">
        <v>-27</v>
      </c>
      <c r="J22" s="913">
        <v>-84.04513250000004</v>
      </c>
      <c r="K22" s="913">
        <v>-92.68644126000005</v>
      </c>
      <c r="L22" s="913">
        <v>1776.38851215</v>
      </c>
      <c r="M22" s="913">
        <v>323.0243628800007</v>
      </c>
      <c r="N22" s="914">
        <f t="shared" si="0"/>
        <v>2584.681301270001</v>
      </c>
    </row>
    <row r="23" spans="1:14" ht="13.5">
      <c r="A23" s="647">
        <v>20</v>
      </c>
      <c r="B23" s="648">
        <v>-192</v>
      </c>
      <c r="C23" s="648">
        <v>585</v>
      </c>
      <c r="D23" s="648">
        <v>237</v>
      </c>
      <c r="E23" s="649">
        <v>-448</v>
      </c>
      <c r="F23" s="653">
        <v>-17</v>
      </c>
      <c r="G23" s="653">
        <v>268</v>
      </c>
      <c r="H23" s="524">
        <v>32</v>
      </c>
      <c r="I23" s="524">
        <v>131</v>
      </c>
      <c r="J23" s="913">
        <v>62.813783249999915</v>
      </c>
      <c r="K23" s="913">
        <v>-84.3815402399998</v>
      </c>
      <c r="L23" s="913">
        <v>857.1145211799999</v>
      </c>
      <c r="M23" s="913">
        <v>-52.130438119999965</v>
      </c>
      <c r="N23" s="914">
        <f t="shared" si="0"/>
        <v>1379.41632607</v>
      </c>
    </row>
    <row r="24" spans="1:14" ht="13.5">
      <c r="A24" s="647">
        <v>21</v>
      </c>
      <c r="B24" s="648">
        <v>174</v>
      </c>
      <c r="C24" s="648">
        <v>1695</v>
      </c>
      <c r="D24" s="648">
        <v>-73</v>
      </c>
      <c r="E24" s="649">
        <v>-69</v>
      </c>
      <c r="F24" s="653">
        <v>-323</v>
      </c>
      <c r="G24" s="653">
        <v>-8</v>
      </c>
      <c r="H24" s="524">
        <v>-195</v>
      </c>
      <c r="I24" s="524">
        <v>376</v>
      </c>
      <c r="J24" s="913">
        <v>-132.24497024999997</v>
      </c>
      <c r="K24" s="913">
        <v>-79.22709677</v>
      </c>
      <c r="L24" s="913">
        <v>33.23852647999982</v>
      </c>
      <c r="M24" s="913">
        <v>-938.1186474000003</v>
      </c>
      <c r="N24" s="914">
        <f t="shared" si="0"/>
        <v>460.6478120599995</v>
      </c>
    </row>
    <row r="25" spans="1:14" ht="13.5">
      <c r="A25" s="647">
        <v>22</v>
      </c>
      <c r="B25" s="648">
        <v>-102</v>
      </c>
      <c r="C25" s="648">
        <v>862</v>
      </c>
      <c r="D25" s="648">
        <v>-181</v>
      </c>
      <c r="E25" s="649">
        <v>738</v>
      </c>
      <c r="F25" s="653">
        <v>-95</v>
      </c>
      <c r="G25" s="653">
        <v>-28</v>
      </c>
      <c r="H25" s="524">
        <v>-22</v>
      </c>
      <c r="I25" s="524">
        <v>187</v>
      </c>
      <c r="J25" s="913">
        <v>-103.62158124999999</v>
      </c>
      <c r="K25" s="913">
        <v>-23.20281332000016</v>
      </c>
      <c r="L25" s="913">
        <v>-447.2959398500001</v>
      </c>
      <c r="M25" s="913">
        <v>-632.0294660100003</v>
      </c>
      <c r="N25" s="914">
        <f t="shared" si="0"/>
        <v>152.85019956999952</v>
      </c>
    </row>
    <row r="26" spans="1:14" ht="13.5">
      <c r="A26" s="647">
        <v>23</v>
      </c>
      <c r="B26" s="648">
        <v>1014</v>
      </c>
      <c r="C26" s="648">
        <v>338</v>
      </c>
      <c r="D26" s="648">
        <v>311</v>
      </c>
      <c r="E26" s="649">
        <v>278</v>
      </c>
      <c r="F26" s="653">
        <v>-65</v>
      </c>
      <c r="G26" s="653">
        <v>-26</v>
      </c>
      <c r="H26" s="524">
        <v>-230</v>
      </c>
      <c r="I26" s="524">
        <v>225</v>
      </c>
      <c r="J26" s="913">
        <v>-52.86192149999998</v>
      </c>
      <c r="K26" s="913">
        <v>-46.51947373999995</v>
      </c>
      <c r="L26" s="913">
        <v>196.48325852000045</v>
      </c>
      <c r="M26" s="913">
        <v>-487.3003164300013</v>
      </c>
      <c r="N26" s="914">
        <f t="shared" si="0"/>
        <v>1454.8015468499993</v>
      </c>
    </row>
    <row r="27" spans="1:14" ht="13.5">
      <c r="A27" s="647">
        <v>24</v>
      </c>
      <c r="B27" s="648">
        <v>-587</v>
      </c>
      <c r="C27" s="648">
        <v>167</v>
      </c>
      <c r="D27" s="648">
        <v>587</v>
      </c>
      <c r="E27" s="649">
        <v>945</v>
      </c>
      <c r="F27" s="653">
        <v>-272</v>
      </c>
      <c r="G27" s="653">
        <v>-20</v>
      </c>
      <c r="H27" s="524">
        <v>167</v>
      </c>
      <c r="I27" s="524">
        <v>470</v>
      </c>
      <c r="J27" s="913">
        <v>-144.38738550000025</v>
      </c>
      <c r="K27" s="913">
        <v>61.89578785999997</v>
      </c>
      <c r="L27" s="913">
        <v>183.95799760000006</v>
      </c>
      <c r="M27" s="913">
        <v>151.26047007999978</v>
      </c>
      <c r="N27" s="914">
        <f t="shared" si="0"/>
        <v>1709.7268700399995</v>
      </c>
    </row>
    <row r="28" spans="1:14" ht="13.5">
      <c r="A28" s="647">
        <v>25</v>
      </c>
      <c r="B28" s="648">
        <v>-836</v>
      </c>
      <c r="C28" s="648">
        <v>21</v>
      </c>
      <c r="D28" s="648">
        <v>575</v>
      </c>
      <c r="E28" s="649">
        <v>237</v>
      </c>
      <c r="F28" s="653">
        <v>85</v>
      </c>
      <c r="G28" s="653">
        <v>262</v>
      </c>
      <c r="H28" s="524">
        <v>-260</v>
      </c>
      <c r="I28" s="524">
        <v>158</v>
      </c>
      <c r="J28" s="913">
        <v>-75.84985474999979</v>
      </c>
      <c r="K28" s="913">
        <v>120.29650736000006</v>
      </c>
      <c r="L28" s="913">
        <v>170.33566430000013</v>
      </c>
      <c r="M28" s="913">
        <v>351.87401654999945</v>
      </c>
      <c r="N28" s="914">
        <f t="shared" si="0"/>
        <v>808.6563334599998</v>
      </c>
    </row>
    <row r="29" spans="1:14" ht="13.5">
      <c r="A29" s="647">
        <v>26</v>
      </c>
      <c r="B29" s="648">
        <v>-418</v>
      </c>
      <c r="C29" s="648">
        <v>-124</v>
      </c>
      <c r="D29" s="648">
        <v>202</v>
      </c>
      <c r="E29" s="649">
        <v>64</v>
      </c>
      <c r="F29" s="653">
        <v>85</v>
      </c>
      <c r="G29" s="653">
        <v>235</v>
      </c>
      <c r="H29" s="524">
        <v>-415</v>
      </c>
      <c r="I29" s="524">
        <v>72</v>
      </c>
      <c r="J29" s="913">
        <v>-83.71574499999987</v>
      </c>
      <c r="K29" s="913">
        <v>-27.58379547000014</v>
      </c>
      <c r="L29" s="913">
        <v>-150.8206552699998</v>
      </c>
      <c r="M29" s="913">
        <v>577.7355453599997</v>
      </c>
      <c r="N29" s="914">
        <f t="shared" si="0"/>
        <v>16.615349619999847</v>
      </c>
    </row>
    <row r="30" spans="1:14" ht="13.5">
      <c r="A30" s="647">
        <v>27</v>
      </c>
      <c r="B30" s="648">
        <v>-22</v>
      </c>
      <c r="C30" s="648">
        <v>-686</v>
      </c>
      <c r="D30" s="648">
        <v>583</v>
      </c>
      <c r="E30" s="649">
        <v>-308</v>
      </c>
      <c r="F30" s="653">
        <v>102</v>
      </c>
      <c r="G30" s="653">
        <v>-55</v>
      </c>
      <c r="H30" s="524">
        <v>135</v>
      </c>
      <c r="I30" s="524">
        <v>-97</v>
      </c>
      <c r="J30" s="913">
        <v>74.28054624999984</v>
      </c>
      <c r="K30" s="913">
        <v>50.04083244999998</v>
      </c>
      <c r="L30" s="913">
        <v>-109.76796154000012</v>
      </c>
      <c r="M30" s="913">
        <v>264.83714681000004</v>
      </c>
      <c r="N30" s="914">
        <f t="shared" si="0"/>
        <v>-68.60943603000027</v>
      </c>
    </row>
    <row r="31" spans="1:14" ht="13.5">
      <c r="A31" s="647">
        <v>28</v>
      </c>
      <c r="B31" s="648">
        <v>28</v>
      </c>
      <c r="C31" s="648">
        <v>229</v>
      </c>
      <c r="D31" s="648">
        <v>-97</v>
      </c>
      <c r="E31" s="649">
        <v>254</v>
      </c>
      <c r="F31" s="653">
        <v>409</v>
      </c>
      <c r="G31" s="653">
        <v>-195</v>
      </c>
      <c r="H31" s="524">
        <v>134</v>
      </c>
      <c r="I31" s="524">
        <v>-88</v>
      </c>
      <c r="J31" s="913">
        <v>-95.66138149999989</v>
      </c>
      <c r="K31" s="913">
        <v>58.9510731599999</v>
      </c>
      <c r="L31" s="913">
        <v>59.825148109999816</v>
      </c>
      <c r="M31" s="913">
        <v>354.9075165000002</v>
      </c>
      <c r="N31" s="914">
        <f t="shared" si="0"/>
        <v>1052.02235627</v>
      </c>
    </row>
    <row r="32" spans="1:14" ht="13.5">
      <c r="A32" s="647">
        <v>29</v>
      </c>
      <c r="B32" s="648">
        <v>303</v>
      </c>
      <c r="C32" s="650"/>
      <c r="D32" s="648">
        <v>309</v>
      </c>
      <c r="E32" s="649">
        <v>235</v>
      </c>
      <c r="F32" s="653">
        <v>1105</v>
      </c>
      <c r="G32" s="653">
        <v>-153</v>
      </c>
      <c r="H32" s="524">
        <v>240</v>
      </c>
      <c r="I32" s="524">
        <v>55</v>
      </c>
      <c r="J32" s="913">
        <v>-25.883230500000035</v>
      </c>
      <c r="K32" s="913">
        <v>25.1370223100002</v>
      </c>
      <c r="L32" s="913">
        <v>60.91012402999971</v>
      </c>
      <c r="M32" s="913">
        <v>84.5675227000001</v>
      </c>
      <c r="N32" s="914">
        <f t="shared" si="0"/>
        <v>2238.73143854</v>
      </c>
    </row>
    <row r="33" spans="1:14" ht="13.5">
      <c r="A33" s="647">
        <v>30</v>
      </c>
      <c r="B33" s="648">
        <v>220</v>
      </c>
      <c r="C33" s="650"/>
      <c r="D33" s="648">
        <v>-103</v>
      </c>
      <c r="E33" s="649">
        <v>323</v>
      </c>
      <c r="F33" s="653">
        <v>-91</v>
      </c>
      <c r="G33" s="653">
        <v>-6</v>
      </c>
      <c r="H33" s="524">
        <v>112</v>
      </c>
      <c r="I33" s="524">
        <v>109</v>
      </c>
      <c r="J33" s="913">
        <v>133.54430324999987</v>
      </c>
      <c r="K33" s="913">
        <v>60.12454982999993</v>
      </c>
      <c r="L33" s="913">
        <v>88.58838188999981</v>
      </c>
      <c r="M33" s="913">
        <v>65.25201557999998</v>
      </c>
      <c r="N33" s="914">
        <f t="shared" si="0"/>
        <v>911.5092505499997</v>
      </c>
    </row>
    <row r="34" spans="1:14" ht="13.5">
      <c r="A34" s="647">
        <v>31</v>
      </c>
      <c r="B34" s="648">
        <v>51</v>
      </c>
      <c r="C34" s="650"/>
      <c r="D34" s="648">
        <v>430</v>
      </c>
      <c r="E34" s="651"/>
      <c r="F34" s="653">
        <v>-18</v>
      </c>
      <c r="G34" s="653"/>
      <c r="H34" s="524">
        <v>204</v>
      </c>
      <c r="I34" s="524">
        <v>-142</v>
      </c>
      <c r="J34" s="913">
        <v>0</v>
      </c>
      <c r="K34" s="913">
        <v>32.30867012000037</v>
      </c>
      <c r="L34" s="913">
        <v>0</v>
      </c>
      <c r="M34" s="913">
        <v>82.04706210999994</v>
      </c>
      <c r="N34" s="914">
        <f t="shared" si="0"/>
        <v>639.3557322300003</v>
      </c>
    </row>
    <row r="35" spans="1:14" ht="13.5" thickBot="1">
      <c r="A35" s="652" t="s">
        <v>24</v>
      </c>
      <c r="B35" s="915">
        <v>-2381</v>
      </c>
      <c r="C35" s="915">
        <v>7203</v>
      </c>
      <c r="D35" s="915">
        <v>328</v>
      </c>
      <c r="E35" s="916">
        <v>2630</v>
      </c>
      <c r="F35" s="917">
        <v>2812</v>
      </c>
      <c r="G35" s="917">
        <v>3674</v>
      </c>
      <c r="H35" s="918">
        <v>169</v>
      </c>
      <c r="I35" s="919">
        <v>2953</v>
      </c>
      <c r="J35" s="920">
        <v>794.6865377500017</v>
      </c>
      <c r="K35" s="913">
        <v>-435.88384247999875</v>
      </c>
      <c r="L35" s="913">
        <v>4238.317348180003</v>
      </c>
      <c r="M35" s="919">
        <f>SUM(M4:M34)</f>
        <v>5071.8595458499985</v>
      </c>
      <c r="N35" s="921">
        <f t="shared" si="0"/>
        <v>27056.979589300005</v>
      </c>
    </row>
    <row r="36" spans="1:14" ht="9.75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</row>
    <row r="37" spans="1:14" ht="9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005" t="s">
        <v>430</v>
      </c>
      <c r="L37" s="2006"/>
      <c r="M37" s="2006"/>
      <c r="N37" s="2007"/>
    </row>
  </sheetData>
  <sheetProtection/>
  <mergeCells count="4">
    <mergeCell ref="A1:N1"/>
    <mergeCell ref="A2:B2"/>
    <mergeCell ref="C2:D2"/>
    <mergeCell ref="K37:N37"/>
  </mergeCells>
  <printOptions/>
  <pageMargins left="0.25" right="0.25" top="0.75" bottom="0.75" header="0.3" footer="0.3"/>
  <pageSetup fitToHeight="1" fitToWidth="1" orientation="landscape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view="pageBreakPreview" zoomScale="70" zoomScaleSheetLayoutView="70" zoomScalePageLayoutView="0" workbookViewId="0" topLeftCell="C44">
      <selection activeCell="D78" sqref="D78:E78"/>
    </sheetView>
  </sheetViews>
  <sheetFormatPr defaultColWidth="9.140625" defaultRowHeight="15"/>
  <cols>
    <col min="1" max="1" width="3.421875" style="541" bestFit="1" customWidth="1"/>
    <col min="2" max="2" width="55.140625" style="541" bestFit="1" customWidth="1"/>
    <col min="3" max="3" width="30.57421875" style="541" bestFit="1" customWidth="1"/>
    <col min="4" max="4" width="25.140625" style="541" bestFit="1" customWidth="1"/>
    <col min="5" max="5" width="13.00390625" style="541" bestFit="1" customWidth="1"/>
    <col min="6" max="247" width="9.140625" style="541" customWidth="1"/>
    <col min="248" max="248" width="3.7109375" style="541" bestFit="1" customWidth="1"/>
    <col min="249" max="249" width="30.7109375" style="541" bestFit="1" customWidth="1"/>
    <col min="250" max="250" width="14.8515625" style="541" bestFit="1" customWidth="1"/>
    <col min="251" max="251" width="5.421875" style="541" bestFit="1" customWidth="1"/>
    <col min="252" max="252" width="13.00390625" style="541" bestFit="1" customWidth="1"/>
    <col min="253" max="253" width="9.57421875" style="541" bestFit="1" customWidth="1"/>
    <col min="254" max="16384" width="9.140625" style="541" customWidth="1"/>
  </cols>
  <sheetData>
    <row r="1" spans="1:5" ht="12.75" customHeight="1" thickBot="1">
      <c r="A1" s="2010" t="s">
        <v>1388</v>
      </c>
      <c r="B1" s="2011"/>
      <c r="C1" s="2016" t="s">
        <v>102</v>
      </c>
      <c r="D1" s="2017"/>
      <c r="E1" s="904" t="s">
        <v>103</v>
      </c>
    </row>
    <row r="2" spans="1:5" ht="15" customHeight="1" thickBot="1">
      <c r="A2" s="2012"/>
      <c r="B2" s="2013"/>
      <c r="C2" s="2018" t="s">
        <v>104</v>
      </c>
      <c r="D2" s="2019"/>
      <c r="E2" s="905" t="s">
        <v>105</v>
      </c>
    </row>
    <row r="3" spans="1:5" ht="12.75" customHeight="1" thickBot="1">
      <c r="A3" s="2012"/>
      <c r="B3" s="2013"/>
      <c r="C3" s="2018" t="s">
        <v>408</v>
      </c>
      <c r="D3" s="2019"/>
      <c r="E3" s="905" t="s">
        <v>33</v>
      </c>
    </row>
    <row r="4" spans="1:5" ht="12.75" customHeight="1" thickBot="1">
      <c r="A4" s="2012"/>
      <c r="B4" s="2013"/>
      <c r="C4" s="2018" t="s">
        <v>409</v>
      </c>
      <c r="D4" s="2019"/>
      <c r="E4" s="905" t="s">
        <v>410</v>
      </c>
    </row>
    <row r="5" spans="1:5" ht="12.75" customHeight="1" thickBot="1">
      <c r="A5" s="2014"/>
      <c r="B5" s="2015"/>
      <c r="C5" s="2018" t="s">
        <v>106</v>
      </c>
      <c r="D5" s="2019"/>
      <c r="E5" s="905" t="s">
        <v>107</v>
      </c>
    </row>
    <row r="6" spans="1:5" ht="31.5" customHeight="1" thickBot="1">
      <c r="A6" s="889" t="s">
        <v>108</v>
      </c>
      <c r="B6" s="890" t="s">
        <v>109</v>
      </c>
      <c r="C6" s="890" t="s">
        <v>110</v>
      </c>
      <c r="D6" s="890" t="s">
        <v>111</v>
      </c>
      <c r="E6" s="890" t="s">
        <v>112</v>
      </c>
    </row>
    <row r="7" spans="1:5" ht="15.75" thickBot="1">
      <c r="A7" s="891">
        <v>1</v>
      </c>
      <c r="B7" s="892" t="s">
        <v>113</v>
      </c>
      <c r="C7" s="892" t="s">
        <v>140</v>
      </c>
      <c r="D7" s="893" t="s">
        <v>412</v>
      </c>
      <c r="E7" s="721" t="s">
        <v>411</v>
      </c>
    </row>
    <row r="8" spans="1:5" ht="15.75" thickBot="1">
      <c r="A8" s="891">
        <v>2</v>
      </c>
      <c r="B8" s="892" t="s">
        <v>114</v>
      </c>
      <c r="C8" s="892" t="s">
        <v>141</v>
      </c>
      <c r="D8" s="893" t="s">
        <v>979</v>
      </c>
      <c r="E8" s="721" t="s">
        <v>411</v>
      </c>
    </row>
    <row r="9" spans="1:5" ht="15.75" thickBot="1">
      <c r="A9" s="891">
        <v>3</v>
      </c>
      <c r="B9" s="892" t="s">
        <v>115</v>
      </c>
      <c r="C9" s="892" t="s">
        <v>379</v>
      </c>
      <c r="D9" s="893" t="s">
        <v>413</v>
      </c>
      <c r="E9" s="721" t="s">
        <v>414</v>
      </c>
    </row>
    <row r="10" spans="1:5" ht="15.75" thickBot="1">
      <c r="A10" s="891">
        <v>4</v>
      </c>
      <c r="B10" s="892" t="s">
        <v>116</v>
      </c>
      <c r="C10" s="892" t="s">
        <v>380</v>
      </c>
      <c r="D10" s="893" t="s">
        <v>415</v>
      </c>
      <c r="E10" s="721" t="s">
        <v>411</v>
      </c>
    </row>
    <row r="11" spans="1:5" ht="15.75" thickBot="1">
      <c r="A11" s="891">
        <v>6</v>
      </c>
      <c r="B11" s="892" t="s">
        <v>117</v>
      </c>
      <c r="C11" s="892" t="s">
        <v>381</v>
      </c>
      <c r="D11" s="893" t="s">
        <v>416</v>
      </c>
      <c r="E11" s="721" t="s">
        <v>411</v>
      </c>
    </row>
    <row r="12" spans="1:5" ht="15.75" thickBot="1">
      <c r="A12" s="891">
        <v>8</v>
      </c>
      <c r="B12" s="892" t="s">
        <v>118</v>
      </c>
      <c r="C12" s="892" t="s">
        <v>139</v>
      </c>
      <c r="D12" s="893" t="s">
        <v>417</v>
      </c>
      <c r="E12" s="721" t="s">
        <v>103</v>
      </c>
    </row>
    <row r="13" spans="1:5" ht="15.75" thickBot="1">
      <c r="A13" s="891">
        <v>9</v>
      </c>
      <c r="B13" s="892" t="s">
        <v>119</v>
      </c>
      <c r="C13" s="892" t="s">
        <v>1096</v>
      </c>
      <c r="D13" s="893" t="s">
        <v>1097</v>
      </c>
      <c r="E13" s="721" t="s">
        <v>411</v>
      </c>
    </row>
    <row r="14" spans="1:5" ht="15.75" thickBot="1">
      <c r="A14" s="891">
        <v>11</v>
      </c>
      <c r="B14" s="892" t="s">
        <v>120</v>
      </c>
      <c r="C14" s="892" t="s">
        <v>382</v>
      </c>
      <c r="D14" s="893" t="s">
        <v>418</v>
      </c>
      <c r="E14" s="721" t="s">
        <v>411</v>
      </c>
    </row>
    <row r="15" spans="1:5" ht="15.75" thickBot="1">
      <c r="A15" s="891">
        <v>13</v>
      </c>
      <c r="B15" s="892" t="s">
        <v>121</v>
      </c>
      <c r="C15" s="892" t="s">
        <v>383</v>
      </c>
      <c r="D15" s="893" t="s">
        <v>419</v>
      </c>
      <c r="E15" s="721" t="s">
        <v>105</v>
      </c>
    </row>
    <row r="16" spans="1:5" ht="15.75" thickBot="1">
      <c r="A16" s="891">
        <v>14</v>
      </c>
      <c r="B16" s="892" t="s">
        <v>122</v>
      </c>
      <c r="C16" s="892" t="s">
        <v>384</v>
      </c>
      <c r="D16" s="893" t="s">
        <v>420</v>
      </c>
      <c r="E16" s="721" t="s">
        <v>411</v>
      </c>
    </row>
    <row r="17" spans="1:5" ht="15.75" thickBot="1">
      <c r="A17" s="891">
        <v>15</v>
      </c>
      <c r="B17" s="892" t="s">
        <v>123</v>
      </c>
      <c r="C17" s="892" t="s">
        <v>385</v>
      </c>
      <c r="D17" s="893" t="s">
        <v>421</v>
      </c>
      <c r="E17" s="721" t="s">
        <v>390</v>
      </c>
    </row>
    <row r="18" spans="1:5" ht="15.75" thickBot="1">
      <c r="A18" s="891">
        <v>16</v>
      </c>
      <c r="B18" s="892" t="s">
        <v>124</v>
      </c>
      <c r="C18" s="892" t="s">
        <v>386</v>
      </c>
      <c r="D18" s="893" t="s">
        <v>422</v>
      </c>
      <c r="E18" s="721" t="s">
        <v>414</v>
      </c>
    </row>
    <row r="19" spans="1:5" ht="15.75" thickBot="1">
      <c r="A19" s="891">
        <v>17</v>
      </c>
      <c r="B19" s="892" t="s">
        <v>125</v>
      </c>
      <c r="C19" s="892" t="s">
        <v>387</v>
      </c>
      <c r="D19" s="893" t="s">
        <v>423</v>
      </c>
      <c r="E19" s="721" t="s">
        <v>411</v>
      </c>
    </row>
    <row r="20" spans="1:5" ht="15.75" thickBot="1">
      <c r="A20" s="891">
        <v>18</v>
      </c>
      <c r="B20" s="892" t="s">
        <v>980</v>
      </c>
      <c r="C20" s="892" t="s">
        <v>995</v>
      </c>
      <c r="D20" s="893" t="s">
        <v>981</v>
      </c>
      <c r="E20" s="721" t="s">
        <v>107</v>
      </c>
    </row>
    <row r="21" spans="1:5" ht="15.75" thickBot="1">
      <c r="A21" s="891">
        <v>19</v>
      </c>
      <c r="B21" s="892" t="s">
        <v>388</v>
      </c>
      <c r="C21" s="892" t="s">
        <v>389</v>
      </c>
      <c r="D21" s="893" t="s">
        <v>424</v>
      </c>
      <c r="E21" s="721" t="s">
        <v>390</v>
      </c>
    </row>
    <row r="22" spans="1:5" ht="15.75" thickBot="1">
      <c r="A22" s="891">
        <v>20</v>
      </c>
      <c r="B22" s="892" t="s">
        <v>126</v>
      </c>
      <c r="C22" s="892" t="s">
        <v>425</v>
      </c>
      <c r="D22" s="893" t="s">
        <v>426</v>
      </c>
      <c r="E22" s="721" t="s">
        <v>103</v>
      </c>
    </row>
    <row r="23" spans="1:5" ht="15.75" thickBot="1">
      <c r="A23" s="891">
        <v>24</v>
      </c>
      <c r="B23" s="892" t="s">
        <v>427</v>
      </c>
      <c r="C23" s="892" t="s">
        <v>428</v>
      </c>
      <c r="D23" s="893" t="s">
        <v>429</v>
      </c>
      <c r="E23" s="721" t="s">
        <v>411</v>
      </c>
    </row>
    <row r="24" spans="1:5" ht="15.75" thickBot="1">
      <c r="A24" s="891">
        <v>25</v>
      </c>
      <c r="B24" s="892" t="s">
        <v>528</v>
      </c>
      <c r="C24" s="892" t="s">
        <v>529</v>
      </c>
      <c r="D24" s="894" t="s">
        <v>530</v>
      </c>
      <c r="E24" s="721" t="s">
        <v>411</v>
      </c>
    </row>
    <row r="25" spans="1:5" ht="15.75" thickBot="1">
      <c r="A25" s="891">
        <v>26</v>
      </c>
      <c r="B25" s="892" t="s">
        <v>579</v>
      </c>
      <c r="C25" s="892" t="s">
        <v>580</v>
      </c>
      <c r="D25" s="894" t="s">
        <v>581</v>
      </c>
      <c r="E25" s="721" t="s">
        <v>33</v>
      </c>
    </row>
    <row r="26" spans="1:5" ht="15.75" thickBot="1">
      <c r="A26" s="891">
        <v>27</v>
      </c>
      <c r="B26" s="892" t="s">
        <v>582</v>
      </c>
      <c r="C26" s="892" t="s">
        <v>583</v>
      </c>
      <c r="D26" s="894" t="s">
        <v>584</v>
      </c>
      <c r="E26" s="721" t="s">
        <v>411</v>
      </c>
    </row>
    <row r="27" spans="1:5" ht="15.75" thickBot="1">
      <c r="A27" s="891">
        <v>28</v>
      </c>
      <c r="B27" s="892" t="s">
        <v>585</v>
      </c>
      <c r="C27" s="892" t="s">
        <v>586</v>
      </c>
      <c r="D27" s="894" t="s">
        <v>587</v>
      </c>
      <c r="E27" s="721" t="s">
        <v>659</v>
      </c>
    </row>
    <row r="28" spans="1:5" ht="15.75" thickBot="1">
      <c r="A28" s="891">
        <v>29</v>
      </c>
      <c r="B28" s="892" t="s">
        <v>588</v>
      </c>
      <c r="C28" s="892" t="s">
        <v>589</v>
      </c>
      <c r="D28" s="894" t="s">
        <v>590</v>
      </c>
      <c r="E28" s="721" t="s">
        <v>411</v>
      </c>
    </row>
    <row r="29" spans="1:5" ht="15.75" thickBot="1">
      <c r="A29" s="891">
        <v>30</v>
      </c>
      <c r="B29" s="892" t="s">
        <v>982</v>
      </c>
      <c r="C29" s="892" t="s">
        <v>983</v>
      </c>
      <c r="D29" s="894" t="s">
        <v>984</v>
      </c>
      <c r="E29" s="721" t="s">
        <v>105</v>
      </c>
    </row>
    <row r="30" spans="1:5" ht="15.75" thickBot="1">
      <c r="A30" s="891">
        <v>31</v>
      </c>
      <c r="B30" s="892" t="s">
        <v>985</v>
      </c>
      <c r="C30" s="892" t="s">
        <v>986</v>
      </c>
      <c r="D30" s="894" t="s">
        <v>987</v>
      </c>
      <c r="E30" s="721" t="s">
        <v>105</v>
      </c>
    </row>
    <row r="31" spans="1:5" ht="15.75" thickBot="1">
      <c r="A31" s="891">
        <v>32</v>
      </c>
      <c r="B31" s="892" t="s">
        <v>988</v>
      </c>
      <c r="C31" s="892" t="s">
        <v>385</v>
      </c>
      <c r="D31" s="894" t="s">
        <v>989</v>
      </c>
      <c r="E31" s="721" t="s">
        <v>33</v>
      </c>
    </row>
    <row r="32" spans="1:5" ht="15.75" thickBot="1">
      <c r="A32" s="891">
        <v>33</v>
      </c>
      <c r="B32" s="892" t="s">
        <v>990</v>
      </c>
      <c r="C32" s="892" t="s">
        <v>991</v>
      </c>
      <c r="D32" s="894" t="s">
        <v>981</v>
      </c>
      <c r="E32" s="721" t="s">
        <v>411</v>
      </c>
    </row>
    <row r="33" spans="1:5" ht="15.75" thickBot="1">
      <c r="A33" s="891">
        <v>34</v>
      </c>
      <c r="B33" s="892" t="s">
        <v>992</v>
      </c>
      <c r="C33" s="892" t="s">
        <v>993</v>
      </c>
      <c r="D33" s="894" t="s">
        <v>981</v>
      </c>
      <c r="E33" s="721" t="s">
        <v>33</v>
      </c>
    </row>
    <row r="34" spans="1:5" ht="15.75" thickBot="1">
      <c r="A34" s="891">
        <v>35</v>
      </c>
      <c r="B34" s="895" t="s">
        <v>994</v>
      </c>
      <c r="C34" s="892" t="s">
        <v>660</v>
      </c>
      <c r="D34" s="894" t="s">
        <v>661</v>
      </c>
      <c r="E34" s="721" t="s">
        <v>578</v>
      </c>
    </row>
    <row r="35" spans="1:5" ht="15.75" thickBot="1">
      <c r="A35" s="891">
        <v>35</v>
      </c>
      <c r="B35" s="895" t="s">
        <v>865</v>
      </c>
      <c r="C35" s="892" t="s">
        <v>1098</v>
      </c>
      <c r="D35" s="894" t="s">
        <v>996</v>
      </c>
      <c r="E35" s="721" t="s">
        <v>103</v>
      </c>
    </row>
    <row r="36" spans="1:5" ht="15">
      <c r="A36" s="896">
        <v>36</v>
      </c>
      <c r="B36" s="895" t="s">
        <v>1099</v>
      </c>
      <c r="C36" s="892" t="s">
        <v>1100</v>
      </c>
      <c r="D36" s="894" t="s">
        <v>1101</v>
      </c>
      <c r="E36" s="722" t="s">
        <v>1102</v>
      </c>
    </row>
    <row r="37" spans="1:5" ht="15">
      <c r="A37" s="897">
        <v>37</v>
      </c>
      <c r="B37" s="898" t="s">
        <v>1103</v>
      </c>
      <c r="C37" s="898" t="s">
        <v>1104</v>
      </c>
      <c r="D37" s="899" t="s">
        <v>1105</v>
      </c>
      <c r="E37" s="900" t="s">
        <v>1106</v>
      </c>
    </row>
    <row r="38" spans="1:5" ht="15">
      <c r="A38" s="901">
        <v>38</v>
      </c>
      <c r="B38" s="898" t="s">
        <v>1107</v>
      </c>
      <c r="C38" s="898" t="s">
        <v>1009</v>
      </c>
      <c r="D38" s="899" t="s">
        <v>1010</v>
      </c>
      <c r="E38" s="900" t="s">
        <v>1102</v>
      </c>
    </row>
    <row r="39" spans="1:5" ht="15">
      <c r="A39" s="901">
        <v>39</v>
      </c>
      <c r="B39" s="898" t="s">
        <v>1108</v>
      </c>
      <c r="C39" s="898" t="s">
        <v>1109</v>
      </c>
      <c r="D39" s="899" t="s">
        <v>1110</v>
      </c>
      <c r="E39" s="900" t="s">
        <v>1106</v>
      </c>
    </row>
    <row r="40" spans="1:5" ht="15">
      <c r="A40" s="901">
        <v>40</v>
      </c>
      <c r="B40" s="898" t="s">
        <v>1111</v>
      </c>
      <c r="C40" s="898" t="s">
        <v>1112</v>
      </c>
      <c r="D40" s="899" t="s">
        <v>1110</v>
      </c>
      <c r="E40" s="900" t="s">
        <v>1106</v>
      </c>
    </row>
    <row r="41" spans="1:5" ht="15">
      <c r="A41" s="901">
        <v>41</v>
      </c>
      <c r="B41" s="898" t="s">
        <v>1113</v>
      </c>
      <c r="C41" s="898" t="s">
        <v>1114</v>
      </c>
      <c r="D41" s="899" t="s">
        <v>1115</v>
      </c>
      <c r="E41" s="900" t="s">
        <v>1102</v>
      </c>
    </row>
    <row r="42" spans="1:5" ht="15">
      <c r="A42" s="901">
        <v>42</v>
      </c>
      <c r="B42" s="898" t="s">
        <v>1116</v>
      </c>
      <c r="C42" s="898" t="s">
        <v>1117</v>
      </c>
      <c r="D42" s="899" t="s">
        <v>1118</v>
      </c>
      <c r="E42" s="900" t="s">
        <v>1106</v>
      </c>
    </row>
    <row r="43" spans="1:5" ht="15">
      <c r="A43" s="901">
        <v>43</v>
      </c>
      <c r="B43" s="898" t="s">
        <v>1119</v>
      </c>
      <c r="C43" s="898" t="s">
        <v>1120</v>
      </c>
      <c r="D43" s="899" t="s">
        <v>1121</v>
      </c>
      <c r="E43" s="900" t="s">
        <v>1102</v>
      </c>
    </row>
    <row r="44" spans="1:12" ht="15">
      <c r="A44" s="901">
        <v>44</v>
      </c>
      <c r="B44" s="898" t="s">
        <v>1122</v>
      </c>
      <c r="C44" s="898" t="s">
        <v>1123</v>
      </c>
      <c r="D44" s="899" t="s">
        <v>1124</v>
      </c>
      <c r="E44" s="900" t="s">
        <v>1125</v>
      </c>
      <c r="L44" s="680"/>
    </row>
    <row r="45" spans="1:5" ht="15">
      <c r="A45" s="901">
        <v>45</v>
      </c>
      <c r="B45" s="898" t="s">
        <v>1126</v>
      </c>
      <c r="C45" s="898" t="s">
        <v>1127</v>
      </c>
      <c r="D45" s="899" t="s">
        <v>1128</v>
      </c>
      <c r="E45" s="900" t="s">
        <v>1102</v>
      </c>
    </row>
    <row r="46" spans="1:5" ht="15">
      <c r="A46" s="897">
        <v>46</v>
      </c>
      <c r="B46" s="898" t="s">
        <v>1129</v>
      </c>
      <c r="C46" s="898" t="s">
        <v>1130</v>
      </c>
      <c r="D46" s="899" t="s">
        <v>1128</v>
      </c>
      <c r="E46" s="900" t="s">
        <v>1102</v>
      </c>
    </row>
    <row r="47" spans="1:5" ht="15">
      <c r="A47" s="897">
        <v>47</v>
      </c>
      <c r="B47" s="898" t="s">
        <v>1131</v>
      </c>
      <c r="C47" s="898" t="s">
        <v>1132</v>
      </c>
      <c r="D47" s="899" t="s">
        <v>1091</v>
      </c>
      <c r="E47" s="900" t="s">
        <v>1133</v>
      </c>
    </row>
    <row r="48" spans="1:5" ht="15">
      <c r="A48" s="897">
        <v>48</v>
      </c>
      <c r="B48" s="898" t="s">
        <v>1134</v>
      </c>
      <c r="C48" s="898" t="s">
        <v>1135</v>
      </c>
      <c r="D48" s="899" t="s">
        <v>1091</v>
      </c>
      <c r="E48" s="900" t="s">
        <v>1136</v>
      </c>
    </row>
    <row r="49" spans="1:5" ht="15">
      <c r="A49" s="897">
        <v>49</v>
      </c>
      <c r="B49" s="898" t="s">
        <v>1137</v>
      </c>
      <c r="C49" s="898" t="s">
        <v>1138</v>
      </c>
      <c r="D49" s="899" t="s">
        <v>1091</v>
      </c>
      <c r="E49" s="900" t="s">
        <v>1139</v>
      </c>
    </row>
    <row r="50" spans="1:5" ht="15">
      <c r="A50" s="901">
        <v>50</v>
      </c>
      <c r="B50" s="898" t="s">
        <v>1140</v>
      </c>
      <c r="C50" s="898" t="s">
        <v>1141</v>
      </c>
      <c r="D50" s="899" t="s">
        <v>1169</v>
      </c>
      <c r="E50" s="900" t="s">
        <v>1170</v>
      </c>
    </row>
    <row r="51" spans="1:5" ht="15">
      <c r="A51" s="897">
        <v>51</v>
      </c>
      <c r="B51" s="902" t="s">
        <v>1166</v>
      </c>
      <c r="C51" s="902" t="s">
        <v>1167</v>
      </c>
      <c r="D51" s="903" t="s">
        <v>1168</v>
      </c>
      <c r="E51" s="723" t="s">
        <v>414</v>
      </c>
    </row>
    <row r="52" spans="1:5" ht="15">
      <c r="A52" s="897">
        <v>52</v>
      </c>
      <c r="B52" s="898" t="s">
        <v>1171</v>
      </c>
      <c r="C52" s="898" t="s">
        <v>1175</v>
      </c>
      <c r="D52" s="899" t="s">
        <v>1176</v>
      </c>
      <c r="E52" s="721" t="s">
        <v>1177</v>
      </c>
    </row>
    <row r="53" spans="1:5" ht="15">
      <c r="A53" s="897">
        <v>53</v>
      </c>
      <c r="B53" s="898" t="s">
        <v>1172</v>
      </c>
      <c r="C53" s="898" t="s">
        <v>1173</v>
      </c>
      <c r="D53" s="899" t="s">
        <v>1174</v>
      </c>
      <c r="E53" s="721" t="s">
        <v>105</v>
      </c>
    </row>
    <row r="54" spans="1:5" ht="15">
      <c r="A54" s="901">
        <v>54</v>
      </c>
      <c r="B54" s="898" t="s">
        <v>1208</v>
      </c>
      <c r="C54" s="898" t="s">
        <v>1220</v>
      </c>
      <c r="D54" s="899" t="s">
        <v>1216</v>
      </c>
      <c r="E54" s="721" t="s">
        <v>103</v>
      </c>
    </row>
    <row r="55" spans="1:5" ht="15">
      <c r="A55" s="897">
        <v>55</v>
      </c>
      <c r="B55" s="898" t="s">
        <v>1209</v>
      </c>
      <c r="C55" s="898" t="s">
        <v>1221</v>
      </c>
      <c r="D55" s="899" t="s">
        <v>1216</v>
      </c>
      <c r="E55" s="721" t="s">
        <v>103</v>
      </c>
    </row>
    <row r="56" spans="1:5" ht="15">
      <c r="A56" s="897">
        <v>56</v>
      </c>
      <c r="B56" s="898" t="s">
        <v>1210</v>
      </c>
      <c r="C56" s="898" t="s">
        <v>1222</v>
      </c>
      <c r="D56" s="899" t="s">
        <v>1216</v>
      </c>
      <c r="E56" s="721" t="s">
        <v>103</v>
      </c>
    </row>
    <row r="57" spans="1:5" ht="15">
      <c r="A57" s="897">
        <v>57</v>
      </c>
      <c r="B57" s="898" t="s">
        <v>1211</v>
      </c>
      <c r="C57" s="898" t="s">
        <v>1223</v>
      </c>
      <c r="D57" s="899" t="s">
        <v>1216</v>
      </c>
      <c r="E57" s="721" t="s">
        <v>103</v>
      </c>
    </row>
    <row r="58" spans="1:5" ht="15">
      <c r="A58" s="901">
        <v>58</v>
      </c>
      <c r="B58" s="898" t="s">
        <v>1212</v>
      </c>
      <c r="C58" s="898" t="s">
        <v>1224</v>
      </c>
      <c r="D58" s="899" t="s">
        <v>1217</v>
      </c>
      <c r="E58" s="721" t="s">
        <v>1215</v>
      </c>
    </row>
    <row r="59" spans="1:5" ht="15">
      <c r="A59" s="897">
        <v>59</v>
      </c>
      <c r="B59" s="902" t="s">
        <v>1213</v>
      </c>
      <c r="C59" s="902" t="s">
        <v>1225</v>
      </c>
      <c r="D59" s="903" t="s">
        <v>1218</v>
      </c>
      <c r="E59" s="723" t="s">
        <v>105</v>
      </c>
    </row>
    <row r="60" spans="1:5" ht="15">
      <c r="A60" s="898">
        <v>60</v>
      </c>
      <c r="B60" s="898" t="s">
        <v>1214</v>
      </c>
      <c r="C60" s="898" t="s">
        <v>1226</v>
      </c>
      <c r="D60" s="899" t="s">
        <v>1219</v>
      </c>
      <c r="E60" s="721" t="s">
        <v>103</v>
      </c>
    </row>
    <row r="61" spans="1:5" ht="17.25" customHeight="1">
      <c r="A61" s="897">
        <v>61</v>
      </c>
      <c r="B61" s="898" t="s">
        <v>1389</v>
      </c>
      <c r="C61" s="898" t="s">
        <v>1390</v>
      </c>
      <c r="D61" s="899" t="s">
        <v>1340</v>
      </c>
      <c r="E61" s="721" t="s">
        <v>1391</v>
      </c>
    </row>
    <row r="62" spans="1:5" ht="15">
      <c r="A62" s="898">
        <v>62</v>
      </c>
      <c r="B62" s="898" t="s">
        <v>1392</v>
      </c>
      <c r="C62" s="898" t="s">
        <v>1393</v>
      </c>
      <c r="D62" s="899" t="s">
        <v>1340</v>
      </c>
      <c r="E62" s="721" t="s">
        <v>1394</v>
      </c>
    </row>
    <row r="63" spans="1:5" ht="15">
      <c r="A63" s="897">
        <v>63</v>
      </c>
      <c r="B63" s="898" t="s">
        <v>1395</v>
      </c>
      <c r="C63" s="898" t="s">
        <v>1396</v>
      </c>
      <c r="D63" s="899" t="s">
        <v>1341</v>
      </c>
      <c r="E63" s="721" t="s">
        <v>103</v>
      </c>
    </row>
    <row r="64" spans="1:5" ht="15">
      <c r="A64" s="898">
        <v>64</v>
      </c>
      <c r="B64" s="898" t="s">
        <v>1397</v>
      </c>
      <c r="C64" s="898" t="s">
        <v>1398</v>
      </c>
      <c r="D64" s="899" t="s">
        <v>1341</v>
      </c>
      <c r="E64" s="721" t="s">
        <v>103</v>
      </c>
    </row>
    <row r="65" spans="1:5" ht="15">
      <c r="A65" s="897">
        <v>65</v>
      </c>
      <c r="B65" s="898" t="s">
        <v>1399</v>
      </c>
      <c r="C65" s="898" t="s">
        <v>1400</v>
      </c>
      <c r="D65" s="899" t="s">
        <v>1341</v>
      </c>
      <c r="E65" s="721" t="s">
        <v>103</v>
      </c>
    </row>
    <row r="66" spans="1:5" ht="15">
      <c r="A66" s="898">
        <v>66</v>
      </c>
      <c r="B66" s="1368" t="s">
        <v>1401</v>
      </c>
      <c r="C66" s="1369" t="s">
        <v>1402</v>
      </c>
      <c r="D66" s="899" t="s">
        <v>1341</v>
      </c>
      <c r="E66" s="721" t="s">
        <v>1394</v>
      </c>
    </row>
    <row r="67" spans="1:5" ht="15">
      <c r="A67" s="897">
        <v>67</v>
      </c>
      <c r="B67" s="898" t="s">
        <v>1403</v>
      </c>
      <c r="C67" s="898" t="s">
        <v>1404</v>
      </c>
      <c r="D67" s="899" t="s">
        <v>1342</v>
      </c>
      <c r="E67" s="721" t="s">
        <v>105</v>
      </c>
    </row>
    <row r="68" spans="1:5" ht="15">
      <c r="A68" s="898">
        <v>68</v>
      </c>
      <c r="B68" s="1368" t="s">
        <v>1405</v>
      </c>
      <c r="C68" s="1368" t="s">
        <v>1406</v>
      </c>
      <c r="D68" s="899" t="s">
        <v>1342</v>
      </c>
      <c r="E68" s="721" t="s">
        <v>105</v>
      </c>
    </row>
    <row r="69" spans="1:5" ht="15">
      <c r="A69" s="897">
        <v>69</v>
      </c>
      <c r="B69" s="898" t="s">
        <v>1407</v>
      </c>
      <c r="C69" s="898" t="s">
        <v>1408</v>
      </c>
      <c r="D69" s="899" t="s">
        <v>1342</v>
      </c>
      <c r="E69" s="721" t="s">
        <v>105</v>
      </c>
    </row>
    <row r="70" spans="1:5" ht="15">
      <c r="A70" s="898">
        <v>70</v>
      </c>
      <c r="B70" s="898" t="s">
        <v>1409</v>
      </c>
      <c r="C70" s="898" t="s">
        <v>1410</v>
      </c>
      <c r="D70" s="899" t="s">
        <v>1342</v>
      </c>
      <c r="E70" s="721" t="s">
        <v>1215</v>
      </c>
    </row>
    <row r="71" spans="1:5" ht="15">
      <c r="A71" s="897">
        <v>71</v>
      </c>
      <c r="B71" s="898" t="s">
        <v>1411</v>
      </c>
      <c r="C71" s="898" t="s">
        <v>1412</v>
      </c>
      <c r="D71" s="899" t="s">
        <v>1343</v>
      </c>
      <c r="E71" s="721" t="s">
        <v>105</v>
      </c>
    </row>
    <row r="72" spans="1:5" ht="15">
      <c r="A72" s="898">
        <v>72</v>
      </c>
      <c r="B72" s="898" t="s">
        <v>1413</v>
      </c>
      <c r="C72" s="898" t="s">
        <v>1414</v>
      </c>
      <c r="D72" s="899" t="s">
        <v>1343</v>
      </c>
      <c r="E72" s="721" t="s">
        <v>103</v>
      </c>
    </row>
    <row r="73" spans="1:5" ht="15">
      <c r="A73" s="897">
        <v>73</v>
      </c>
      <c r="B73" s="898" t="s">
        <v>1415</v>
      </c>
      <c r="C73" s="898" t="s">
        <v>660</v>
      </c>
      <c r="D73" s="899" t="s">
        <v>1344</v>
      </c>
      <c r="E73" s="721" t="s">
        <v>103</v>
      </c>
    </row>
    <row r="74" spans="1:5" ht="15">
      <c r="A74" s="898">
        <v>74</v>
      </c>
      <c r="B74" s="898" t="s">
        <v>1416</v>
      </c>
      <c r="C74" s="898" t="s">
        <v>1417</v>
      </c>
      <c r="D74" s="899" t="s">
        <v>1344</v>
      </c>
      <c r="E74" s="721" t="s">
        <v>105</v>
      </c>
    </row>
    <row r="75" spans="1:5" ht="15">
      <c r="A75" s="897">
        <v>75</v>
      </c>
      <c r="B75" s="898" t="s">
        <v>1418</v>
      </c>
      <c r="C75" s="898" t="s">
        <v>1419</v>
      </c>
      <c r="D75" s="899" t="s">
        <v>1344</v>
      </c>
      <c r="E75" s="721" t="s">
        <v>1177</v>
      </c>
    </row>
    <row r="76" spans="1:5" ht="15">
      <c r="A76" s="898">
        <v>76</v>
      </c>
      <c r="B76" s="898" t="s">
        <v>1416</v>
      </c>
      <c r="C76" s="898" t="s">
        <v>1417</v>
      </c>
      <c r="D76" s="899" t="s">
        <v>1345</v>
      </c>
      <c r="E76" s="721" t="s">
        <v>103</v>
      </c>
    </row>
    <row r="77" spans="1:5" ht="15.75" thickBot="1">
      <c r="A77" s="897"/>
      <c r="B77" s="1370"/>
      <c r="C77" s="1370"/>
      <c r="D77" s="1371"/>
      <c r="E77" s="1372"/>
    </row>
    <row r="78" spans="3:5" ht="15.75" thickBot="1">
      <c r="C78" s="912"/>
      <c r="D78" s="2008" t="s">
        <v>1432</v>
      </c>
      <c r="E78" s="2009"/>
    </row>
  </sheetData>
  <sheetProtection/>
  <mergeCells count="7">
    <mergeCell ref="D78:E78"/>
    <mergeCell ref="A1:B5"/>
    <mergeCell ref="C1:D1"/>
    <mergeCell ref="C2:D2"/>
    <mergeCell ref="C3:D3"/>
    <mergeCell ref="C4:D4"/>
    <mergeCell ref="C5:D5"/>
  </mergeCells>
  <printOptions/>
  <pageMargins left="0.25" right="0.25" top="0.75" bottom="0.75" header="0.3" footer="0.3"/>
  <pageSetup fitToHeight="1" fitToWidth="1" orientation="portrait" scale="5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571"/>
  <sheetViews>
    <sheetView view="pageBreakPreview" zoomScale="55" zoomScaleSheetLayoutView="55" zoomScalePageLayoutView="0" workbookViewId="0" topLeftCell="D497">
      <selection activeCell="N569" sqref="N569:O569"/>
    </sheetView>
  </sheetViews>
  <sheetFormatPr defaultColWidth="9.140625" defaultRowHeight="15"/>
  <cols>
    <col min="1" max="1" width="6.421875" style="349" customWidth="1"/>
    <col min="2" max="2" width="20.57421875" style="350" customWidth="1"/>
    <col min="3" max="3" width="19.7109375" style="322" customWidth="1"/>
    <col min="4" max="4" width="55.8515625" style="322" customWidth="1"/>
    <col min="5" max="10" width="12.7109375" style="322" customWidth="1"/>
    <col min="11" max="11" width="12.57421875" style="322" customWidth="1"/>
    <col min="12" max="16" width="12.7109375" style="322" customWidth="1"/>
    <col min="17" max="17" width="13.28125" style="206" bestFit="1" customWidth="1"/>
    <col min="18" max="18" width="0" style="322" hidden="1" customWidth="1"/>
    <col min="19" max="214" width="9.140625" style="322" customWidth="1"/>
    <col min="215" max="215" width="16.28125" style="322" customWidth="1"/>
    <col min="216" max="216" width="11.7109375" style="322" customWidth="1"/>
    <col min="217" max="217" width="25.57421875" style="322" customWidth="1"/>
    <col min="218" max="225" width="9.140625" style="322" customWidth="1"/>
    <col min="226" max="226" width="10.00390625" style="322" bestFit="1" customWidth="1"/>
    <col min="227" max="227" width="10.00390625" style="322" customWidth="1"/>
    <col min="228" max="228" width="10.00390625" style="322" bestFit="1" customWidth="1"/>
    <col min="229" max="229" width="9.140625" style="322" customWidth="1"/>
    <col min="230" max="230" width="11.421875" style="322" customWidth="1"/>
    <col min="231" max="233" width="9.140625" style="322" customWidth="1"/>
    <col min="234" max="234" width="15.421875" style="322" customWidth="1"/>
    <col min="235" max="16384" width="9.140625" style="322" customWidth="1"/>
  </cols>
  <sheetData>
    <row r="1" spans="1:17" ht="30" customHeight="1" thickBot="1">
      <c r="A1" s="2070" t="s">
        <v>1142</v>
      </c>
      <c r="B1" s="2070"/>
      <c r="C1" s="2070"/>
      <c r="D1" s="2070"/>
      <c r="E1" s="2070"/>
      <c r="F1" s="2070"/>
      <c r="G1" s="2070"/>
      <c r="H1" s="2070"/>
      <c r="I1" s="2070"/>
      <c r="J1" s="2070"/>
      <c r="K1" s="2070"/>
      <c r="L1" s="2070"/>
      <c r="M1" s="2070"/>
      <c r="N1" s="2070"/>
      <c r="O1" s="2070"/>
      <c r="P1" s="2070"/>
      <c r="Q1" s="2070"/>
    </row>
    <row r="2" spans="1:17" s="749" customFormat="1" ht="30" customHeight="1" thickBot="1">
      <c r="A2" s="351" t="s">
        <v>431</v>
      </c>
      <c r="B2" s="352" t="s">
        <v>432</v>
      </c>
      <c r="C2" s="2071" t="s">
        <v>433</v>
      </c>
      <c r="D2" s="1629"/>
      <c r="E2" s="353" t="s">
        <v>12</v>
      </c>
      <c r="F2" s="354" t="s">
        <v>13</v>
      </c>
      <c r="G2" s="354" t="s">
        <v>14</v>
      </c>
      <c r="H2" s="354" t="s">
        <v>15</v>
      </c>
      <c r="I2" s="354" t="s">
        <v>16</v>
      </c>
      <c r="J2" s="354" t="s">
        <v>17</v>
      </c>
      <c r="K2" s="354" t="s">
        <v>18</v>
      </c>
      <c r="L2" s="354" t="s">
        <v>19</v>
      </c>
      <c r="M2" s="354" t="s">
        <v>20</v>
      </c>
      <c r="N2" s="354" t="s">
        <v>21</v>
      </c>
      <c r="O2" s="354" t="s">
        <v>22</v>
      </c>
      <c r="P2" s="1166" t="s">
        <v>23</v>
      </c>
      <c r="Q2" s="355" t="s">
        <v>1429</v>
      </c>
    </row>
    <row r="3" spans="1:17" s="750" customFormat="1" ht="15" customHeight="1">
      <c r="A3" s="2058">
        <v>1</v>
      </c>
      <c r="B3" s="2065" t="s">
        <v>434</v>
      </c>
      <c r="C3" s="2029" t="s">
        <v>435</v>
      </c>
      <c r="D3" s="356" t="s">
        <v>436</v>
      </c>
      <c r="E3" s="357">
        <v>-2366</v>
      </c>
      <c r="F3" s="358">
        <v>-980</v>
      </c>
      <c r="G3" s="358">
        <v>-10159</v>
      </c>
      <c r="H3" s="358">
        <v>-4990</v>
      </c>
      <c r="I3" s="358">
        <v>-3452</v>
      </c>
      <c r="J3" s="358">
        <v>-11010</v>
      </c>
      <c r="K3" s="358">
        <v>-14061</v>
      </c>
      <c r="L3" s="553">
        <v>-11641</v>
      </c>
      <c r="M3" s="358">
        <v>-8494</v>
      </c>
      <c r="N3" s="358">
        <v>-3983</v>
      </c>
      <c r="O3" s="358">
        <v>-2628</v>
      </c>
      <c r="P3" s="554">
        <v>-4477</v>
      </c>
      <c r="Q3" s="359">
        <f>SUM(E3:P3)</f>
        <v>-78241</v>
      </c>
    </row>
    <row r="4" spans="1:17" s="750" customFormat="1" ht="15" customHeight="1">
      <c r="A4" s="2058"/>
      <c r="B4" s="2065"/>
      <c r="C4" s="2029"/>
      <c r="D4" s="360" t="s">
        <v>825</v>
      </c>
      <c r="E4" s="357">
        <v>-1427</v>
      </c>
      <c r="F4" s="358">
        <v>-2375</v>
      </c>
      <c r="G4" s="358">
        <v>-168</v>
      </c>
      <c r="H4" s="358">
        <v>-1116</v>
      </c>
      <c r="I4" s="358">
        <v>-1110</v>
      </c>
      <c r="J4" s="358">
        <v>-1005</v>
      </c>
      <c r="K4" s="358">
        <v>0</v>
      </c>
      <c r="L4" s="555">
        <v>0</v>
      </c>
      <c r="M4" s="358">
        <v>-175</v>
      </c>
      <c r="N4" s="358">
        <v>-75</v>
      </c>
      <c r="O4" s="358">
        <v>0</v>
      </c>
      <c r="P4" s="554">
        <v>0</v>
      </c>
      <c r="Q4" s="361">
        <f>SUM(E4:P4)</f>
        <v>-7451</v>
      </c>
    </row>
    <row r="5" spans="1:17" s="750" customFormat="1" ht="15" customHeight="1">
      <c r="A5" s="2058"/>
      <c r="B5" s="2065"/>
      <c r="C5" s="2029"/>
      <c r="D5" s="360" t="s">
        <v>437</v>
      </c>
      <c r="E5" s="357">
        <v>-9495</v>
      </c>
      <c r="F5" s="362">
        <v>-11229</v>
      </c>
      <c r="G5" s="362">
        <v>-2697</v>
      </c>
      <c r="H5" s="362">
        <v>-5288</v>
      </c>
      <c r="I5" s="362">
        <v>-6821</v>
      </c>
      <c r="J5" s="362">
        <v>-3562</v>
      </c>
      <c r="K5" s="358">
        <v>-70</v>
      </c>
      <c r="L5" s="555">
        <v>-316</v>
      </c>
      <c r="M5" s="358">
        <v>-3762</v>
      </c>
      <c r="N5" s="358">
        <v>-18539</v>
      </c>
      <c r="O5" s="358">
        <v>-14609</v>
      </c>
      <c r="P5" s="554">
        <v>-11788</v>
      </c>
      <c r="Q5" s="361">
        <f>SUM(E5:P5)</f>
        <v>-88176</v>
      </c>
    </row>
    <row r="6" spans="1:17" s="750" customFormat="1" ht="15" customHeight="1">
      <c r="A6" s="2058"/>
      <c r="B6" s="2065"/>
      <c r="C6" s="2029"/>
      <c r="D6" s="363" t="s">
        <v>438</v>
      </c>
      <c r="E6" s="364">
        <f>SUM(E3:E5)</f>
        <v>-13288</v>
      </c>
      <c r="F6" s="365">
        <f aca="true" t="shared" si="0" ref="F6:P6">SUM(F3:F5)</f>
        <v>-14584</v>
      </c>
      <c r="G6" s="365">
        <f t="shared" si="0"/>
        <v>-13024</v>
      </c>
      <c r="H6" s="365">
        <f t="shared" si="0"/>
        <v>-11394</v>
      </c>
      <c r="I6" s="365">
        <f t="shared" si="0"/>
        <v>-11383</v>
      </c>
      <c r="J6" s="365">
        <f t="shared" si="0"/>
        <v>-15577</v>
      </c>
      <c r="K6" s="365">
        <f t="shared" si="0"/>
        <v>-14131</v>
      </c>
      <c r="L6" s="365">
        <f>SUM(L3:L5)</f>
        <v>-11957</v>
      </c>
      <c r="M6" s="365">
        <f t="shared" si="0"/>
        <v>-12431</v>
      </c>
      <c r="N6" s="365">
        <f t="shared" si="0"/>
        <v>-22597</v>
      </c>
      <c r="O6" s="365">
        <f t="shared" si="0"/>
        <v>-17237</v>
      </c>
      <c r="P6" s="365">
        <f t="shared" si="0"/>
        <v>-16265</v>
      </c>
      <c r="Q6" s="366">
        <f>SUM(Q3:Q5)</f>
        <v>-173868</v>
      </c>
    </row>
    <row r="7" spans="1:17" s="750" customFormat="1" ht="15" customHeight="1">
      <c r="A7" s="2058"/>
      <c r="B7" s="2065"/>
      <c r="C7" s="2029"/>
      <c r="D7" s="360" t="s">
        <v>439</v>
      </c>
      <c r="E7" s="357">
        <v>31280</v>
      </c>
      <c r="F7" s="358">
        <v>40317</v>
      </c>
      <c r="G7" s="358">
        <v>19024</v>
      </c>
      <c r="H7" s="358">
        <v>26516</v>
      </c>
      <c r="I7" s="358">
        <v>30383</v>
      </c>
      <c r="J7" s="358">
        <v>6447</v>
      </c>
      <c r="K7" s="358">
        <v>1460</v>
      </c>
      <c r="L7" s="358">
        <v>2879</v>
      </c>
      <c r="M7" s="358">
        <v>3686</v>
      </c>
      <c r="N7" s="358">
        <v>16243</v>
      </c>
      <c r="O7" s="358">
        <v>16918</v>
      </c>
      <c r="P7" s="554">
        <v>23380</v>
      </c>
      <c r="Q7" s="361">
        <f>SUM(E7:P7)</f>
        <v>218533</v>
      </c>
    </row>
    <row r="8" spans="1:17" s="750" customFormat="1" ht="15" customHeight="1">
      <c r="A8" s="2058"/>
      <c r="B8" s="2065"/>
      <c r="C8" s="2029"/>
      <c r="D8" s="360" t="s">
        <v>826</v>
      </c>
      <c r="E8" s="357">
        <v>5283</v>
      </c>
      <c r="F8" s="358">
        <v>1262</v>
      </c>
      <c r="G8" s="358">
        <v>5751</v>
      </c>
      <c r="H8" s="358">
        <v>4711</v>
      </c>
      <c r="I8" s="358">
        <v>1959</v>
      </c>
      <c r="J8" s="358">
        <v>424</v>
      </c>
      <c r="K8" s="358">
        <v>2298</v>
      </c>
      <c r="L8" s="358">
        <v>5801</v>
      </c>
      <c r="M8" s="358">
        <v>488</v>
      </c>
      <c r="N8" s="358">
        <v>44</v>
      </c>
      <c r="O8" s="358">
        <v>107</v>
      </c>
      <c r="P8" s="554">
        <v>0</v>
      </c>
      <c r="Q8" s="361">
        <f>SUM(E8:P8)</f>
        <v>28128</v>
      </c>
    </row>
    <row r="9" spans="1:17" s="750" customFormat="1" ht="15" customHeight="1">
      <c r="A9" s="2058"/>
      <c r="B9" s="2065"/>
      <c r="C9" s="2029"/>
      <c r="D9" s="360" t="s">
        <v>440</v>
      </c>
      <c r="E9" s="357">
        <v>50992</v>
      </c>
      <c r="F9" s="358">
        <v>32477</v>
      </c>
      <c r="G9" s="358">
        <v>45965</v>
      </c>
      <c r="H9" s="358">
        <v>37760</v>
      </c>
      <c r="I9" s="358">
        <v>38066</v>
      </c>
      <c r="J9" s="358">
        <v>22832</v>
      </c>
      <c r="K9" s="358">
        <v>33661</v>
      </c>
      <c r="L9" s="358">
        <v>39636</v>
      </c>
      <c r="M9" s="358">
        <v>24248</v>
      </c>
      <c r="N9" s="358">
        <v>14979</v>
      </c>
      <c r="O9" s="358">
        <v>22740</v>
      </c>
      <c r="P9" s="554">
        <v>40795</v>
      </c>
      <c r="Q9" s="361">
        <f>SUM(E9:P9)</f>
        <v>404151</v>
      </c>
    </row>
    <row r="10" spans="1:17" s="750" customFormat="1" ht="15" customHeight="1">
      <c r="A10" s="2058"/>
      <c r="B10" s="2065"/>
      <c r="C10" s="2029"/>
      <c r="D10" s="410" t="s">
        <v>441</v>
      </c>
      <c r="E10" s="369">
        <f aca="true" t="shared" si="1" ref="E10:P10">SUM(E7:E9)</f>
        <v>87555</v>
      </c>
      <c r="F10" s="365">
        <f t="shared" si="1"/>
        <v>74056</v>
      </c>
      <c r="G10" s="365">
        <f t="shared" si="1"/>
        <v>70740</v>
      </c>
      <c r="H10" s="365">
        <f t="shared" si="1"/>
        <v>68987</v>
      </c>
      <c r="I10" s="365">
        <f t="shared" si="1"/>
        <v>70408</v>
      </c>
      <c r="J10" s="365">
        <f t="shared" si="1"/>
        <v>29703</v>
      </c>
      <c r="K10" s="365">
        <f t="shared" si="1"/>
        <v>37419</v>
      </c>
      <c r="L10" s="365">
        <f t="shared" si="1"/>
        <v>48316</v>
      </c>
      <c r="M10" s="365">
        <f t="shared" si="1"/>
        <v>28422</v>
      </c>
      <c r="N10" s="365">
        <f t="shared" si="1"/>
        <v>31266</v>
      </c>
      <c r="O10" s="365">
        <f t="shared" si="1"/>
        <v>39765</v>
      </c>
      <c r="P10" s="369">
        <f t="shared" si="1"/>
        <v>64175</v>
      </c>
      <c r="Q10" s="366">
        <f>SUM(Q7:Q9)</f>
        <v>650812</v>
      </c>
    </row>
    <row r="11" spans="1:17" s="750" customFormat="1" ht="15" customHeight="1">
      <c r="A11" s="2058"/>
      <c r="B11" s="2065"/>
      <c r="C11" s="2060" t="s">
        <v>442</v>
      </c>
      <c r="D11" s="409" t="s">
        <v>732</v>
      </c>
      <c r="E11" s="1266">
        <v>85560</v>
      </c>
      <c r="F11" s="371">
        <v>61642</v>
      </c>
      <c r="G11" s="371">
        <v>57716</v>
      </c>
      <c r="H11" s="371">
        <v>57353</v>
      </c>
      <c r="I11" s="371">
        <v>59201</v>
      </c>
      <c r="J11" s="371">
        <v>14126</v>
      </c>
      <c r="K11" s="371">
        <v>23288</v>
      </c>
      <c r="L11" s="371">
        <v>36359</v>
      </c>
      <c r="M11" s="371">
        <v>15991</v>
      </c>
      <c r="N11" s="371">
        <v>8669</v>
      </c>
      <c r="O11" s="371">
        <v>22528</v>
      </c>
      <c r="P11" s="556">
        <v>47910</v>
      </c>
      <c r="Q11" s="361">
        <f>SUM(E11:P11)</f>
        <v>490343</v>
      </c>
    </row>
    <row r="12" spans="1:17" s="751" customFormat="1" ht="15" customHeight="1">
      <c r="A12" s="2058"/>
      <c r="B12" s="2065"/>
      <c r="C12" s="2030"/>
      <c r="D12" s="363" t="s">
        <v>443</v>
      </c>
      <c r="E12" s="364">
        <f>SUM(E11)</f>
        <v>85560</v>
      </c>
      <c r="F12" s="368">
        <f aca="true" t="shared" si="2" ref="F12:P12">SUM(F11)</f>
        <v>61642</v>
      </c>
      <c r="G12" s="368">
        <f t="shared" si="2"/>
        <v>57716</v>
      </c>
      <c r="H12" s="368">
        <f t="shared" si="2"/>
        <v>57353</v>
      </c>
      <c r="I12" s="368">
        <f t="shared" si="2"/>
        <v>59201</v>
      </c>
      <c r="J12" s="368">
        <f t="shared" si="2"/>
        <v>14126</v>
      </c>
      <c r="K12" s="368">
        <f t="shared" si="2"/>
        <v>23288</v>
      </c>
      <c r="L12" s="368">
        <f t="shared" si="2"/>
        <v>36359</v>
      </c>
      <c r="M12" s="368">
        <f t="shared" si="2"/>
        <v>15991</v>
      </c>
      <c r="N12" s="368">
        <f t="shared" si="2"/>
        <v>8669</v>
      </c>
      <c r="O12" s="368">
        <f t="shared" si="2"/>
        <v>22528</v>
      </c>
      <c r="P12" s="369">
        <f t="shared" si="2"/>
        <v>47910</v>
      </c>
      <c r="Q12" s="373">
        <f>SUM(Q11)</f>
        <v>490343</v>
      </c>
    </row>
    <row r="13" spans="1:17" s="750" customFormat="1" ht="15" customHeight="1" hidden="1">
      <c r="A13" s="2058"/>
      <c r="B13" s="2065"/>
      <c r="C13" s="2060" t="s">
        <v>444</v>
      </c>
      <c r="D13" s="370" t="s">
        <v>733</v>
      </c>
      <c r="E13" s="374"/>
      <c r="F13" s="371"/>
      <c r="G13" s="371"/>
      <c r="H13" s="375"/>
      <c r="I13" s="375"/>
      <c r="J13" s="375"/>
      <c r="K13" s="375"/>
      <c r="L13" s="375"/>
      <c r="M13" s="375"/>
      <c r="N13" s="375"/>
      <c r="O13" s="375"/>
      <c r="P13"/>
      <c r="Q13" s="361">
        <f aca="true" t="shared" si="3" ref="Q13:Q21">SUM(E13:P13)</f>
        <v>0</v>
      </c>
    </row>
    <row r="14" spans="1:17" s="750" customFormat="1" ht="15" customHeight="1" hidden="1">
      <c r="A14" s="2058"/>
      <c r="B14" s="2065"/>
      <c r="C14" s="2029"/>
      <c r="D14" s="370" t="s">
        <v>449</v>
      </c>
      <c r="E14" s="374"/>
      <c r="F14" s="371"/>
      <c r="G14" s="371"/>
      <c r="H14" s="375"/>
      <c r="I14" s="375"/>
      <c r="J14" s="375"/>
      <c r="K14" s="376"/>
      <c r="L14" s="375"/>
      <c r="M14" s="376"/>
      <c r="N14" s="375"/>
      <c r="O14" s="376"/>
      <c r="P14" s="376"/>
      <c r="Q14" s="361">
        <f t="shared" si="3"/>
        <v>0</v>
      </c>
    </row>
    <row r="15" spans="1:17" s="750" customFormat="1" ht="15" customHeight="1" hidden="1">
      <c r="A15" s="2058"/>
      <c r="B15" s="2065"/>
      <c r="C15" s="2029"/>
      <c r="D15" s="370" t="s">
        <v>456</v>
      </c>
      <c r="E15" s="374"/>
      <c r="F15" s="371"/>
      <c r="G15" s="371"/>
      <c r="H15" s="375"/>
      <c r="I15" s="375"/>
      <c r="J15" s="375"/>
      <c r="K15" s="376"/>
      <c r="L15" s="375"/>
      <c r="M15" s="376"/>
      <c r="N15" s="375"/>
      <c r="O15" s="375"/>
      <c r="P15" s="376"/>
      <c r="Q15" s="361">
        <f t="shared" si="3"/>
        <v>0</v>
      </c>
    </row>
    <row r="16" spans="1:17" s="750" customFormat="1" ht="15" customHeight="1">
      <c r="A16" s="2058"/>
      <c r="B16" s="2065"/>
      <c r="C16" s="2029"/>
      <c r="D16" s="370" t="s">
        <v>1143</v>
      </c>
      <c r="E16" s="374">
        <v>-1</v>
      </c>
      <c r="F16" s="371"/>
      <c r="G16" s="371"/>
      <c r="H16" s="375"/>
      <c r="I16" s="375"/>
      <c r="J16" s="375"/>
      <c r="K16" s="376"/>
      <c r="L16" s="375"/>
      <c r="M16" s="376"/>
      <c r="N16" s="375"/>
      <c r="O16" s="375"/>
      <c r="P16" s="376"/>
      <c r="Q16" s="361">
        <f t="shared" si="3"/>
        <v>-1</v>
      </c>
    </row>
    <row r="17" spans="1:17" s="750" customFormat="1" ht="15" customHeight="1">
      <c r="A17" s="2058"/>
      <c r="B17" s="2065"/>
      <c r="C17" s="2029"/>
      <c r="D17" s="370" t="s">
        <v>836</v>
      </c>
      <c r="E17" s="374">
        <v>-1</v>
      </c>
      <c r="F17" s="371"/>
      <c r="G17" s="371"/>
      <c r="H17" s="375"/>
      <c r="I17" s="375"/>
      <c r="J17" s="375"/>
      <c r="K17" s="376"/>
      <c r="L17" s="375"/>
      <c r="M17" s="376"/>
      <c r="N17" s="375"/>
      <c r="O17" s="375"/>
      <c r="P17" s="376"/>
      <c r="Q17" s="361">
        <f t="shared" si="3"/>
        <v>-1</v>
      </c>
    </row>
    <row r="18" spans="1:17" s="750" customFormat="1" ht="15" customHeight="1">
      <c r="A18" s="2058"/>
      <c r="B18" s="2065"/>
      <c r="C18" s="2029"/>
      <c r="D18" s="370" t="s">
        <v>1144</v>
      </c>
      <c r="E18" s="374"/>
      <c r="F18" s="371"/>
      <c r="G18" s="371"/>
      <c r="H18" s="375"/>
      <c r="I18" s="371">
        <v>176</v>
      </c>
      <c r="J18" s="375"/>
      <c r="K18" s="376"/>
      <c r="L18" s="375"/>
      <c r="M18" s="375"/>
      <c r="N18" s="375"/>
      <c r="O18" s="376"/>
      <c r="P18" s="376"/>
      <c r="Q18" s="361">
        <f t="shared" si="3"/>
        <v>176</v>
      </c>
    </row>
    <row r="19" spans="1:17" s="750" customFormat="1" ht="15" customHeight="1">
      <c r="A19" s="2058"/>
      <c r="B19" s="2065"/>
      <c r="C19" s="2029"/>
      <c r="D19" s="370" t="s">
        <v>445</v>
      </c>
      <c r="E19" s="374"/>
      <c r="F19" s="371"/>
      <c r="G19" s="371"/>
      <c r="H19" s="375"/>
      <c r="I19" s="375"/>
      <c r="J19" s="375"/>
      <c r="K19" s="375"/>
      <c r="L19" s="375"/>
      <c r="M19" s="376"/>
      <c r="N19" s="375"/>
      <c r="O19" s="376"/>
      <c r="P19" s="376"/>
      <c r="Q19" s="361">
        <f t="shared" si="3"/>
        <v>0</v>
      </c>
    </row>
    <row r="20" spans="1:17" s="750" customFormat="1" ht="15" customHeight="1">
      <c r="A20" s="2058"/>
      <c r="B20" s="2065"/>
      <c r="C20" s="2029"/>
      <c r="D20" s="370" t="s">
        <v>1145</v>
      </c>
      <c r="E20" s="374"/>
      <c r="F20" s="371"/>
      <c r="G20" s="371"/>
      <c r="H20" s="375">
        <v>-240</v>
      </c>
      <c r="I20" s="375"/>
      <c r="J20" s="375"/>
      <c r="K20" s="375"/>
      <c r="L20" s="375"/>
      <c r="M20" s="376"/>
      <c r="N20" s="375"/>
      <c r="O20" s="376"/>
      <c r="P20" s="376"/>
      <c r="Q20" s="361">
        <f t="shared" si="3"/>
        <v>-240</v>
      </c>
    </row>
    <row r="21" spans="1:17" s="750" customFormat="1" ht="15" customHeight="1">
      <c r="A21" s="2058"/>
      <c r="B21" s="2065"/>
      <c r="C21" s="2029"/>
      <c r="D21" s="370" t="s">
        <v>531</v>
      </c>
      <c r="E21" s="374">
        <v>11295</v>
      </c>
      <c r="F21" s="371">
        <v>2170</v>
      </c>
      <c r="G21" s="371"/>
      <c r="H21" s="375"/>
      <c r="I21" s="375"/>
      <c r="J21" s="375"/>
      <c r="K21" s="375"/>
      <c r="L21" s="375"/>
      <c r="M21" s="375"/>
      <c r="N21" s="375"/>
      <c r="O21" s="375"/>
      <c r="P21" s="375"/>
      <c r="Q21" s="361">
        <f t="shared" si="3"/>
        <v>13465</v>
      </c>
    </row>
    <row r="22" spans="1:18" s="751" customFormat="1" ht="15" customHeight="1" thickBot="1">
      <c r="A22" s="2059"/>
      <c r="B22" s="2066"/>
      <c r="C22" s="2031"/>
      <c r="D22" s="377" t="s">
        <v>446</v>
      </c>
      <c r="E22" s="378">
        <f>SUM(E13:E21)</f>
        <v>11293</v>
      </c>
      <c r="F22" s="379">
        <f>SUM(F13:F21)</f>
        <v>2170</v>
      </c>
      <c r="G22" s="379">
        <f aca="true" t="shared" si="4" ref="G22:P22">SUM(G13:G21)</f>
        <v>0</v>
      </c>
      <c r="H22" s="379">
        <f t="shared" si="4"/>
        <v>-240</v>
      </c>
      <c r="I22" s="379">
        <f t="shared" si="4"/>
        <v>176</v>
      </c>
      <c r="J22" s="379">
        <f t="shared" si="4"/>
        <v>0</v>
      </c>
      <c r="K22" s="379">
        <f t="shared" si="4"/>
        <v>0</v>
      </c>
      <c r="L22" s="379">
        <f t="shared" si="4"/>
        <v>0</v>
      </c>
      <c r="M22" s="379">
        <f t="shared" si="4"/>
        <v>0</v>
      </c>
      <c r="N22" s="379">
        <f t="shared" si="4"/>
        <v>0</v>
      </c>
      <c r="O22" s="379">
        <f t="shared" si="4"/>
        <v>0</v>
      </c>
      <c r="P22" s="557">
        <f t="shared" si="4"/>
        <v>0</v>
      </c>
      <c r="Q22" s="380">
        <f>SUM(Q13:Q21)</f>
        <v>13399</v>
      </c>
      <c r="R22" s="753">
        <f>Q6+Q10-Q12+Q22</f>
        <v>0</v>
      </c>
    </row>
    <row r="23" spans="1:17" s="752" customFormat="1" ht="4.5" customHeight="1" thickBot="1">
      <c r="A23" s="1162"/>
      <c r="B23" s="1165"/>
      <c r="C23" s="1163"/>
      <c r="D23" s="381"/>
      <c r="E23" s="382"/>
      <c r="F23" s="383"/>
      <c r="G23" s="383"/>
      <c r="H23" s="383"/>
      <c r="I23" s="383"/>
      <c r="J23" s="383"/>
      <c r="K23" s="558"/>
      <c r="L23" s="384"/>
      <c r="M23" s="385"/>
      <c r="N23" s="383"/>
      <c r="O23" s="383"/>
      <c r="P23" s="558"/>
      <c r="Q23" s="386"/>
    </row>
    <row r="24" spans="1:17" s="750" customFormat="1" ht="15" customHeight="1">
      <c r="A24" s="2057">
        <v>2</v>
      </c>
      <c r="B24" s="2072" t="s">
        <v>827</v>
      </c>
      <c r="C24" s="2028" t="s">
        <v>435</v>
      </c>
      <c r="D24" s="356" t="s">
        <v>436</v>
      </c>
      <c r="E24" s="387">
        <v>-46</v>
      </c>
      <c r="F24" s="388">
        <v>-924</v>
      </c>
      <c r="G24" s="388">
        <v>-3218</v>
      </c>
      <c r="H24" s="388">
        <v>0</v>
      </c>
      <c r="I24" s="388">
        <v>0</v>
      </c>
      <c r="J24" s="388">
        <v>-2616</v>
      </c>
      <c r="K24" s="388">
        <v>-6237</v>
      </c>
      <c r="L24" s="559">
        <v>-5352</v>
      </c>
      <c r="M24" s="389">
        <v>-6232</v>
      </c>
      <c r="N24" s="388">
        <v>-3594</v>
      </c>
      <c r="O24" s="388">
        <v>-859</v>
      </c>
      <c r="P24" s="560">
        <v>-153</v>
      </c>
      <c r="Q24" s="390">
        <f>SUM(E24:P24)</f>
        <v>-29231</v>
      </c>
    </row>
    <row r="25" spans="1:17" s="750" customFormat="1" ht="15" customHeight="1">
      <c r="A25" s="2058"/>
      <c r="B25" s="2073"/>
      <c r="C25" s="2029"/>
      <c r="D25" s="360" t="s">
        <v>825</v>
      </c>
      <c r="E25" s="391">
        <v>0</v>
      </c>
      <c r="F25" s="358">
        <v>-1098</v>
      </c>
      <c r="G25" s="358">
        <v>-37</v>
      </c>
      <c r="H25" s="358">
        <v>-1853</v>
      </c>
      <c r="I25" s="358">
        <v>-4253</v>
      </c>
      <c r="J25" s="358">
        <v>-1068</v>
      </c>
      <c r="K25" s="358">
        <v>-1380</v>
      </c>
      <c r="L25" s="555">
        <v>-2573</v>
      </c>
      <c r="M25" s="358">
        <v>-3558</v>
      </c>
      <c r="N25" s="358">
        <v>-2506</v>
      </c>
      <c r="O25" s="358">
        <v>-6926</v>
      </c>
      <c r="P25" s="554">
        <v>-3766</v>
      </c>
      <c r="Q25" s="361">
        <f>SUM(E25:P25)</f>
        <v>-29018</v>
      </c>
    </row>
    <row r="26" spans="1:17" s="750" customFormat="1" ht="15" customHeight="1">
      <c r="A26" s="2058"/>
      <c r="B26" s="2073"/>
      <c r="C26" s="2029"/>
      <c r="D26" s="360" t="s">
        <v>437</v>
      </c>
      <c r="E26" s="391">
        <v>-2</v>
      </c>
      <c r="F26" s="358">
        <v>-1435</v>
      </c>
      <c r="G26" s="358">
        <v>-4010</v>
      </c>
      <c r="H26" s="358">
        <v>-2584</v>
      </c>
      <c r="I26" s="358">
        <v>-2438</v>
      </c>
      <c r="J26" s="358">
        <v>-733</v>
      </c>
      <c r="K26" s="358">
        <v>-54</v>
      </c>
      <c r="L26" s="555">
        <v>0</v>
      </c>
      <c r="M26" s="358">
        <v>-333</v>
      </c>
      <c r="N26" s="358">
        <v>-2143</v>
      </c>
      <c r="O26" s="358">
        <v>-888</v>
      </c>
      <c r="P26" s="554">
        <v>0</v>
      </c>
      <c r="Q26" s="361">
        <f>SUM(E26:P26)</f>
        <v>-14620</v>
      </c>
    </row>
    <row r="27" spans="1:17" s="750" customFormat="1" ht="15" customHeight="1">
      <c r="A27" s="2058"/>
      <c r="B27" s="2073"/>
      <c r="C27" s="2029"/>
      <c r="D27" s="363" t="s">
        <v>438</v>
      </c>
      <c r="E27" s="392">
        <f>SUM(E24:E26)</f>
        <v>-48</v>
      </c>
      <c r="F27" s="365">
        <f aca="true" t="shared" si="5" ref="F27:O27">SUM(F24:F26)</f>
        <v>-3457</v>
      </c>
      <c r="G27" s="365">
        <f t="shared" si="5"/>
        <v>-7265</v>
      </c>
      <c r="H27" s="365">
        <f t="shared" si="5"/>
        <v>-4437</v>
      </c>
      <c r="I27" s="365">
        <f t="shared" si="5"/>
        <v>-6691</v>
      </c>
      <c r="J27" s="365">
        <f t="shared" si="5"/>
        <v>-4417</v>
      </c>
      <c r="K27" s="365">
        <f t="shared" si="5"/>
        <v>-7671</v>
      </c>
      <c r="L27" s="365">
        <f t="shared" si="5"/>
        <v>-7925</v>
      </c>
      <c r="M27" s="365">
        <f t="shared" si="5"/>
        <v>-10123</v>
      </c>
      <c r="N27" s="365">
        <f t="shared" si="5"/>
        <v>-8243</v>
      </c>
      <c r="O27" s="365">
        <f t="shared" si="5"/>
        <v>-8673</v>
      </c>
      <c r="P27" s="561">
        <f>SUM(P24:P26)</f>
        <v>-3919</v>
      </c>
      <c r="Q27" s="366">
        <f>SUM(Q24:Q26)</f>
        <v>-72869</v>
      </c>
    </row>
    <row r="28" spans="1:17" s="750" customFormat="1" ht="15" customHeight="1">
      <c r="A28" s="2058"/>
      <c r="B28" s="2073"/>
      <c r="C28" s="2029"/>
      <c r="D28" s="360" t="s">
        <v>439</v>
      </c>
      <c r="E28" s="391">
        <v>0</v>
      </c>
      <c r="F28" s="358">
        <v>0</v>
      </c>
      <c r="G28" s="358">
        <v>0</v>
      </c>
      <c r="H28" s="358">
        <v>6646</v>
      </c>
      <c r="I28" s="358">
        <v>655</v>
      </c>
      <c r="J28" s="358">
        <v>501</v>
      </c>
      <c r="K28" s="358">
        <v>0</v>
      </c>
      <c r="L28" s="555">
        <v>0</v>
      </c>
      <c r="M28" s="358">
        <v>1369</v>
      </c>
      <c r="N28" s="358">
        <v>1519</v>
      </c>
      <c r="O28" s="358">
        <v>3791</v>
      </c>
      <c r="P28" s="554">
        <v>0</v>
      </c>
      <c r="Q28" s="361">
        <f>SUM(E28:P28)</f>
        <v>14481</v>
      </c>
    </row>
    <row r="29" spans="1:17" s="750" customFormat="1" ht="15" customHeight="1">
      <c r="A29" s="2058"/>
      <c r="B29" s="2073"/>
      <c r="C29" s="2029"/>
      <c r="D29" s="360" t="s">
        <v>826</v>
      </c>
      <c r="E29" s="391">
        <v>0</v>
      </c>
      <c r="F29" s="358">
        <v>0</v>
      </c>
      <c r="G29" s="358">
        <v>35</v>
      </c>
      <c r="H29" s="358">
        <v>0</v>
      </c>
      <c r="I29" s="358">
        <v>270</v>
      </c>
      <c r="J29" s="358">
        <v>1149</v>
      </c>
      <c r="K29" s="358">
        <v>4614</v>
      </c>
      <c r="L29" s="555">
        <v>256</v>
      </c>
      <c r="M29" s="358">
        <v>284</v>
      </c>
      <c r="N29" s="358">
        <v>0</v>
      </c>
      <c r="O29" s="358">
        <v>0</v>
      </c>
      <c r="P29" s="554">
        <v>0</v>
      </c>
      <c r="Q29" s="361">
        <f>SUM(E29:P29)</f>
        <v>6608</v>
      </c>
    </row>
    <row r="30" spans="1:17" s="750" customFormat="1" ht="15" customHeight="1">
      <c r="A30" s="2058"/>
      <c r="B30" s="2073"/>
      <c r="C30" s="2029"/>
      <c r="D30" s="360" t="s">
        <v>440</v>
      </c>
      <c r="E30" s="391">
        <v>0</v>
      </c>
      <c r="F30" s="358">
        <v>16</v>
      </c>
      <c r="G30" s="358">
        <v>1256</v>
      </c>
      <c r="H30" s="358">
        <v>0</v>
      </c>
      <c r="I30" s="358">
        <v>239</v>
      </c>
      <c r="J30" s="358">
        <v>0</v>
      </c>
      <c r="K30" s="358">
        <v>0</v>
      </c>
      <c r="L30" s="555">
        <v>2593</v>
      </c>
      <c r="M30" s="358">
        <v>361</v>
      </c>
      <c r="N30" s="358">
        <v>32</v>
      </c>
      <c r="O30" s="358">
        <v>956</v>
      </c>
      <c r="P30" s="554">
        <v>336</v>
      </c>
      <c r="Q30" s="361">
        <f>SUM(E30:P30)</f>
        <v>5789</v>
      </c>
    </row>
    <row r="31" spans="1:17" s="750" customFormat="1" ht="15" customHeight="1">
      <c r="A31" s="2058"/>
      <c r="B31" s="2073"/>
      <c r="C31" s="2030"/>
      <c r="D31" s="363" t="s">
        <v>441</v>
      </c>
      <c r="E31" s="392">
        <f>SUM(E28:E30)</f>
        <v>0</v>
      </c>
      <c r="F31" s="365">
        <f aca="true" t="shared" si="6" ref="F31:O31">SUM(F28:F30)</f>
        <v>16</v>
      </c>
      <c r="G31" s="365">
        <f t="shared" si="6"/>
        <v>1291</v>
      </c>
      <c r="H31" s="365">
        <f t="shared" si="6"/>
        <v>6646</v>
      </c>
      <c r="I31" s="365">
        <f t="shared" si="6"/>
        <v>1164</v>
      </c>
      <c r="J31" s="365">
        <f t="shared" si="6"/>
        <v>1650</v>
      </c>
      <c r="K31" s="365">
        <f t="shared" si="6"/>
        <v>4614</v>
      </c>
      <c r="L31" s="365">
        <f t="shared" si="6"/>
        <v>2849</v>
      </c>
      <c r="M31" s="365">
        <f t="shared" si="6"/>
        <v>2014</v>
      </c>
      <c r="N31" s="365">
        <f t="shared" si="6"/>
        <v>1551</v>
      </c>
      <c r="O31" s="365">
        <f t="shared" si="6"/>
        <v>4747</v>
      </c>
      <c r="P31" s="561">
        <f>SUM(P28:P30)</f>
        <v>336</v>
      </c>
      <c r="Q31" s="366">
        <f>SUM(Q28:Q30)</f>
        <v>26878</v>
      </c>
    </row>
    <row r="32" spans="1:17" s="750" customFormat="1" ht="15" customHeight="1" hidden="1">
      <c r="A32" s="2058"/>
      <c r="B32" s="2073"/>
      <c r="C32" s="2029" t="s">
        <v>444</v>
      </c>
      <c r="D32" s="370" t="s">
        <v>498</v>
      </c>
      <c r="E32" s="393"/>
      <c r="F32" s="394"/>
      <c r="G32" s="394"/>
      <c r="H32" s="394"/>
      <c r="I32" s="394"/>
      <c r="J32" s="396"/>
      <c r="K32" s="394"/>
      <c r="L32" s="396"/>
      <c r="M32" s="395"/>
      <c r="N32" s="396"/>
      <c r="O32" s="396"/>
      <c r="P32" s="562"/>
      <c r="Q32" s="361">
        <f aca="true" t="shared" si="7" ref="Q32:Q52">SUM(E32:P32)</f>
        <v>0</v>
      </c>
    </row>
    <row r="33" spans="1:17" s="750" customFormat="1" ht="15" customHeight="1" hidden="1">
      <c r="A33" s="2058"/>
      <c r="B33" s="2073"/>
      <c r="C33" s="2029"/>
      <c r="D33" s="370" t="s">
        <v>828</v>
      </c>
      <c r="E33" s="393"/>
      <c r="F33" s="394"/>
      <c r="G33" s="394"/>
      <c r="H33" s="394"/>
      <c r="I33" s="394"/>
      <c r="J33" s="396"/>
      <c r="K33" s="395"/>
      <c r="L33" s="396"/>
      <c r="M33" s="395"/>
      <c r="N33" s="396"/>
      <c r="O33" s="396"/>
      <c r="P33" s="562"/>
      <c r="Q33" s="361">
        <f t="shared" si="7"/>
        <v>0</v>
      </c>
    </row>
    <row r="34" spans="1:17" s="750" customFormat="1" ht="15" customHeight="1" hidden="1">
      <c r="A34" s="2058"/>
      <c r="B34" s="2073"/>
      <c r="C34" s="2029"/>
      <c r="D34" s="370"/>
      <c r="E34" s="397"/>
      <c r="F34" s="394"/>
      <c r="G34" s="394"/>
      <c r="H34" s="375"/>
      <c r="I34" s="375"/>
      <c r="J34" s="396"/>
      <c r="K34" s="396"/>
      <c r="L34" s="396"/>
      <c r="M34" s="375"/>
      <c r="N34" s="396"/>
      <c r="O34" s="396"/>
      <c r="P34" s="562"/>
      <c r="Q34" s="361">
        <f t="shared" si="7"/>
        <v>0</v>
      </c>
    </row>
    <row r="35" spans="1:17" s="750" customFormat="1" ht="15" customHeight="1">
      <c r="A35" s="2058"/>
      <c r="B35" s="2073"/>
      <c r="C35" s="2029"/>
      <c r="D35" s="370" t="s">
        <v>1145</v>
      </c>
      <c r="E35" s="397"/>
      <c r="F35" s="394"/>
      <c r="G35" s="394"/>
      <c r="H35" s="375"/>
      <c r="I35" s="375"/>
      <c r="J35" s="396"/>
      <c r="K35" s="396"/>
      <c r="L35" s="396">
        <v>-8</v>
      </c>
      <c r="M35" s="375"/>
      <c r="N35" s="396"/>
      <c r="O35" s="396"/>
      <c r="P35" s="562"/>
      <c r="Q35" s="361">
        <f t="shared" si="7"/>
        <v>-8</v>
      </c>
    </row>
    <row r="36" spans="1:17" s="750" customFormat="1" ht="15" customHeight="1">
      <c r="A36" s="2058"/>
      <c r="B36" s="2073"/>
      <c r="C36" s="2029"/>
      <c r="D36" s="370" t="s">
        <v>1303</v>
      </c>
      <c r="E36" s="397"/>
      <c r="F36" s="375"/>
      <c r="G36" s="394"/>
      <c r="H36" s="375"/>
      <c r="I36" s="375"/>
      <c r="J36" s="396"/>
      <c r="K36" s="376"/>
      <c r="L36" s="396"/>
      <c r="M36" s="396">
        <v>-11308</v>
      </c>
      <c r="N36" s="396">
        <v>-876</v>
      </c>
      <c r="O36" s="396"/>
      <c r="P36" s="562"/>
      <c r="Q36" s="361">
        <f t="shared" si="7"/>
        <v>-12184</v>
      </c>
    </row>
    <row r="37" spans="1:17" s="750" customFormat="1" ht="15" customHeight="1">
      <c r="A37" s="2058"/>
      <c r="B37" s="2073"/>
      <c r="C37" s="2029"/>
      <c r="D37" s="370" t="s">
        <v>829</v>
      </c>
      <c r="E37" s="397"/>
      <c r="F37" s="375"/>
      <c r="G37" s="375"/>
      <c r="H37" s="394"/>
      <c r="I37" s="396"/>
      <c r="J37" s="396"/>
      <c r="K37" s="396"/>
      <c r="L37" s="396">
        <v>-1</v>
      </c>
      <c r="M37" s="396"/>
      <c r="N37" s="396">
        <v>-4071</v>
      </c>
      <c r="O37" s="396">
        <v>-40</v>
      </c>
      <c r="P37" s="562"/>
      <c r="Q37" s="361">
        <f t="shared" si="7"/>
        <v>-4112</v>
      </c>
    </row>
    <row r="38" spans="1:17" s="750" customFormat="1" ht="15" customHeight="1">
      <c r="A38" s="2058"/>
      <c r="B38" s="2073"/>
      <c r="C38" s="2029"/>
      <c r="D38" s="370" t="s">
        <v>545</v>
      </c>
      <c r="E38" s="397">
        <v>-27600</v>
      </c>
      <c r="F38" s="375">
        <v>-18976</v>
      </c>
      <c r="G38" s="375">
        <v>-6975</v>
      </c>
      <c r="H38" s="375">
        <v>-10535</v>
      </c>
      <c r="I38" s="375">
        <v>-2412</v>
      </c>
      <c r="J38" s="396">
        <v>-1040</v>
      </c>
      <c r="K38" s="375">
        <v>-10098</v>
      </c>
      <c r="L38" s="396">
        <v>-191</v>
      </c>
      <c r="M38" s="396">
        <v>-1524</v>
      </c>
      <c r="N38" s="396">
        <v>-5025</v>
      </c>
      <c r="O38" s="562">
        <v>-1083</v>
      </c>
      <c r="P38" s="562">
        <v>-17248.45</v>
      </c>
      <c r="Q38" s="361">
        <f t="shared" si="7"/>
        <v>-102707.45</v>
      </c>
    </row>
    <row r="39" spans="1:17" s="750" customFormat="1" ht="15" customHeight="1">
      <c r="A39" s="2058"/>
      <c r="B39" s="2073"/>
      <c r="C39" s="2029"/>
      <c r="D39" s="370" t="s">
        <v>1304</v>
      </c>
      <c r="E39" s="397"/>
      <c r="F39" s="375"/>
      <c r="G39" s="375"/>
      <c r="H39" s="375"/>
      <c r="I39" s="375"/>
      <c r="J39" s="396"/>
      <c r="K39" s="376"/>
      <c r="L39" s="396"/>
      <c r="M39" s="396">
        <v>-91</v>
      </c>
      <c r="N39" s="396"/>
      <c r="O39" s="396"/>
      <c r="P39" s="562"/>
      <c r="Q39" s="361">
        <f t="shared" si="7"/>
        <v>-91</v>
      </c>
    </row>
    <row r="40" spans="1:17" s="750" customFormat="1" ht="15" customHeight="1">
      <c r="A40" s="2058"/>
      <c r="B40" s="2073"/>
      <c r="C40" s="2029"/>
      <c r="D40" s="370" t="s">
        <v>1322</v>
      </c>
      <c r="E40" s="397"/>
      <c r="F40" s="375"/>
      <c r="G40" s="375"/>
      <c r="H40" s="375"/>
      <c r="I40" s="375"/>
      <c r="J40" s="396"/>
      <c r="K40" s="376"/>
      <c r="L40" s="396"/>
      <c r="M40" s="396"/>
      <c r="N40" s="396">
        <v>274</v>
      </c>
      <c r="O40" s="396">
        <v>246</v>
      </c>
      <c r="P40" s="562">
        <v>16896</v>
      </c>
      <c r="Q40" s="361">
        <f t="shared" si="7"/>
        <v>17416</v>
      </c>
    </row>
    <row r="41" spans="1:17" s="750" customFormat="1" ht="15" customHeight="1">
      <c r="A41" s="2058"/>
      <c r="B41" s="2073"/>
      <c r="C41" s="2029"/>
      <c r="D41" s="370" t="s">
        <v>455</v>
      </c>
      <c r="E41" s="397"/>
      <c r="F41" s="375"/>
      <c r="G41" s="375"/>
      <c r="H41" s="375">
        <v>-150</v>
      </c>
      <c r="I41" s="375"/>
      <c r="J41" s="396"/>
      <c r="K41" s="376"/>
      <c r="L41" s="396">
        <v>-180</v>
      </c>
      <c r="M41" s="396">
        <v>-120</v>
      </c>
      <c r="N41" s="396"/>
      <c r="O41" s="396">
        <v>-910</v>
      </c>
      <c r="P41" s="562">
        <v>-8252</v>
      </c>
      <c r="Q41" s="361">
        <f t="shared" si="7"/>
        <v>-9612</v>
      </c>
    </row>
    <row r="42" spans="1:17" s="750" customFormat="1" ht="15" customHeight="1">
      <c r="A42" s="2058"/>
      <c r="B42" s="2073"/>
      <c r="C42" s="2029"/>
      <c r="D42" s="370" t="s">
        <v>546</v>
      </c>
      <c r="E42" s="397"/>
      <c r="F42" s="375"/>
      <c r="G42" s="375"/>
      <c r="H42" s="375">
        <v>1968</v>
      </c>
      <c r="I42" s="375">
        <v>555</v>
      </c>
      <c r="J42" s="396">
        <v>254</v>
      </c>
      <c r="K42" s="376"/>
      <c r="L42" s="396">
        <v>8</v>
      </c>
      <c r="M42" s="396"/>
      <c r="N42" s="396"/>
      <c r="O42" s="396"/>
      <c r="P42" s="562">
        <v>334.25</v>
      </c>
      <c r="Q42" s="361">
        <f t="shared" si="7"/>
        <v>3119.25</v>
      </c>
    </row>
    <row r="43" spans="1:17" s="750" customFormat="1" ht="15" customHeight="1">
      <c r="A43" s="2058"/>
      <c r="B43" s="2073"/>
      <c r="C43" s="2029"/>
      <c r="D43" s="370" t="s">
        <v>445</v>
      </c>
      <c r="E43" s="397"/>
      <c r="F43" s="375">
        <v>17496</v>
      </c>
      <c r="G43" s="375">
        <v>5650</v>
      </c>
      <c r="H43" s="375">
        <v>630</v>
      </c>
      <c r="I43" s="375">
        <v>3744</v>
      </c>
      <c r="J43" s="396">
        <v>1490</v>
      </c>
      <c r="K43" s="396">
        <v>2259</v>
      </c>
      <c r="L43" s="396">
        <v>3960</v>
      </c>
      <c r="M43" s="396">
        <v>9046</v>
      </c>
      <c r="N43" s="396"/>
      <c r="O43" s="396">
        <v>4200</v>
      </c>
      <c r="P43" s="562"/>
      <c r="Q43" s="361">
        <f t="shared" si="7"/>
        <v>48475</v>
      </c>
    </row>
    <row r="44" spans="1:17" s="750" customFormat="1" ht="15" customHeight="1" hidden="1">
      <c r="A44" s="2058"/>
      <c r="B44" s="2073"/>
      <c r="C44" s="2029"/>
      <c r="D44" s="370" t="s">
        <v>829</v>
      </c>
      <c r="E44" s="397"/>
      <c r="F44" s="375"/>
      <c r="G44" s="375"/>
      <c r="H44" s="375"/>
      <c r="I44" s="375"/>
      <c r="J44" s="396"/>
      <c r="K44" s="396"/>
      <c r="L44" s="396"/>
      <c r="M44" s="396"/>
      <c r="N44" s="396"/>
      <c r="O44" s="396"/>
      <c r="P44" s="562"/>
      <c r="Q44" s="361">
        <f t="shared" si="7"/>
        <v>0</v>
      </c>
    </row>
    <row r="45" spans="1:17" s="750" customFormat="1" ht="15" customHeight="1" hidden="1">
      <c r="A45" s="2058"/>
      <c r="B45" s="2073"/>
      <c r="C45" s="2029"/>
      <c r="D45" s="370" t="s">
        <v>454</v>
      </c>
      <c r="E45" s="397"/>
      <c r="F45" s="375"/>
      <c r="G45" s="375"/>
      <c r="H45" s="375"/>
      <c r="I45" s="375"/>
      <c r="J45" s="396"/>
      <c r="K45" s="396"/>
      <c r="L45" s="396"/>
      <c r="M45" s="396"/>
      <c r="N45" s="396"/>
      <c r="O45" s="396"/>
      <c r="P45" s="562"/>
      <c r="Q45" s="361">
        <f t="shared" si="7"/>
        <v>0</v>
      </c>
    </row>
    <row r="46" spans="1:17" s="750" customFormat="1" ht="15" customHeight="1" hidden="1">
      <c r="A46" s="2058"/>
      <c r="B46" s="2073"/>
      <c r="C46" s="2029"/>
      <c r="D46" s="370" t="s">
        <v>830</v>
      </c>
      <c r="E46" s="397"/>
      <c r="F46" s="375"/>
      <c r="G46" s="375"/>
      <c r="H46" s="375"/>
      <c r="I46" s="375"/>
      <c r="J46" s="396"/>
      <c r="K46" s="396"/>
      <c r="L46" s="396"/>
      <c r="M46" s="396"/>
      <c r="N46" s="396"/>
      <c r="O46" s="396"/>
      <c r="P46" s="562"/>
      <c r="Q46" s="361">
        <f t="shared" si="7"/>
        <v>0</v>
      </c>
    </row>
    <row r="47" spans="1:17" s="750" customFormat="1" ht="15" customHeight="1">
      <c r="A47" s="2058"/>
      <c r="B47" s="2073"/>
      <c r="C47" s="2029"/>
      <c r="D47" s="370" t="s">
        <v>733</v>
      </c>
      <c r="E47" s="1001">
        <v>9048</v>
      </c>
      <c r="F47" s="375">
        <v>1344</v>
      </c>
      <c r="G47" s="375">
        <v>1486</v>
      </c>
      <c r="H47" s="375">
        <v>1440</v>
      </c>
      <c r="I47" s="375">
        <v>1488</v>
      </c>
      <c r="J47" s="396">
        <v>1440</v>
      </c>
      <c r="K47" s="396">
        <v>1488</v>
      </c>
      <c r="L47" s="396">
        <v>1488</v>
      </c>
      <c r="M47" s="396">
        <v>1440</v>
      </c>
      <c r="N47" s="396">
        <v>1490</v>
      </c>
      <c r="O47" s="396">
        <v>1440</v>
      </c>
      <c r="P47" s="562">
        <v>1488</v>
      </c>
      <c r="Q47" s="361">
        <f t="shared" si="7"/>
        <v>25080</v>
      </c>
    </row>
    <row r="48" spans="1:17" s="750" customFormat="1" ht="15" customHeight="1">
      <c r="A48" s="2058"/>
      <c r="B48" s="2073"/>
      <c r="C48" s="2029"/>
      <c r="D48" s="370" t="s">
        <v>1305</v>
      </c>
      <c r="E48" s="397"/>
      <c r="F48" s="375"/>
      <c r="G48" s="375"/>
      <c r="H48" s="375"/>
      <c r="I48" s="375"/>
      <c r="J48" s="396"/>
      <c r="K48" s="376"/>
      <c r="L48" s="396"/>
      <c r="M48" s="396">
        <v>10356</v>
      </c>
      <c r="N48" s="396"/>
      <c r="O48" s="396">
        <v>73</v>
      </c>
      <c r="P48" s="562">
        <v>175.20000000000005</v>
      </c>
      <c r="Q48" s="361">
        <f t="shared" si="7"/>
        <v>10604.2</v>
      </c>
    </row>
    <row r="49" spans="1:17" s="750" customFormat="1" ht="15" customHeight="1">
      <c r="A49" s="2058"/>
      <c r="B49" s="2073"/>
      <c r="C49" s="2029"/>
      <c r="D49" s="370" t="s">
        <v>449</v>
      </c>
      <c r="E49" s="397"/>
      <c r="F49" s="394"/>
      <c r="G49" s="394">
        <v>367</v>
      </c>
      <c r="H49" s="375"/>
      <c r="I49" s="375"/>
      <c r="J49" s="396"/>
      <c r="K49" s="396"/>
      <c r="L49" s="396"/>
      <c r="M49" s="375"/>
      <c r="N49" s="396"/>
      <c r="O49" s="396"/>
      <c r="P49" s="562"/>
      <c r="Q49" s="361">
        <f t="shared" si="7"/>
        <v>367</v>
      </c>
    </row>
    <row r="50" spans="1:17" s="750" customFormat="1" ht="15" customHeight="1">
      <c r="A50" s="2058"/>
      <c r="B50" s="2073"/>
      <c r="C50" s="2029"/>
      <c r="D50" s="370" t="s">
        <v>832</v>
      </c>
      <c r="E50" s="397"/>
      <c r="F50" s="375">
        <v>1680</v>
      </c>
      <c r="G50" s="375"/>
      <c r="H50" s="375"/>
      <c r="I50" s="375"/>
      <c r="J50" s="396"/>
      <c r="K50" s="376"/>
      <c r="L50" s="396"/>
      <c r="M50" s="396"/>
      <c r="N50" s="396"/>
      <c r="O50" s="396"/>
      <c r="P50" s="562"/>
      <c r="Q50" s="361">
        <f>SUM(E50:P50)</f>
        <v>1680</v>
      </c>
    </row>
    <row r="51" spans="1:17" s="750" customFormat="1" ht="15" customHeight="1">
      <c r="A51" s="2058"/>
      <c r="B51" s="2073"/>
      <c r="C51" s="2029"/>
      <c r="D51" s="370" t="s">
        <v>734</v>
      </c>
      <c r="E51" s="393">
        <v>18600</v>
      </c>
      <c r="F51" s="394"/>
      <c r="G51" s="394">
        <v>1957</v>
      </c>
      <c r="H51" s="394"/>
      <c r="I51" s="396">
        <v>20</v>
      </c>
      <c r="J51" s="396">
        <v>623</v>
      </c>
      <c r="K51" s="396">
        <v>9408</v>
      </c>
      <c r="L51" s="396"/>
      <c r="M51" s="396">
        <v>310</v>
      </c>
      <c r="N51" s="396">
        <v>14900</v>
      </c>
      <c r="O51" s="562"/>
      <c r="P51" s="562">
        <v>10190</v>
      </c>
      <c r="Q51" s="361">
        <f t="shared" si="7"/>
        <v>56008</v>
      </c>
    </row>
    <row r="52" spans="1:17" s="750" customFormat="1" ht="15" customHeight="1">
      <c r="A52" s="2058"/>
      <c r="B52" s="2073"/>
      <c r="C52" s="2029"/>
      <c r="D52" s="370" t="s">
        <v>531</v>
      </c>
      <c r="E52" s="374"/>
      <c r="F52" s="371">
        <v>1897</v>
      </c>
      <c r="G52" s="371">
        <v>3489</v>
      </c>
      <c r="H52" s="375">
        <v>4438</v>
      </c>
      <c r="I52" s="375">
        <v>2132</v>
      </c>
      <c r="J52" s="375"/>
      <c r="K52" s="375"/>
      <c r="L52" s="375"/>
      <c r="M52" s="375"/>
      <c r="N52" s="375"/>
      <c r="O52" s="375"/>
      <c r="P52" s="562"/>
      <c r="Q52" s="361">
        <f t="shared" si="7"/>
        <v>11956</v>
      </c>
    </row>
    <row r="53" spans="1:18" s="751" customFormat="1" ht="15" customHeight="1" thickBot="1">
      <c r="A53" s="2059"/>
      <c r="B53" s="2074"/>
      <c r="C53" s="2031"/>
      <c r="D53" s="377" t="s">
        <v>446</v>
      </c>
      <c r="E53" s="378">
        <f>SUM(E32:E52)</f>
        <v>48</v>
      </c>
      <c r="F53" s="379">
        <f aca="true" t="shared" si="8" ref="F53:P53">SUM(F32:F52)</f>
        <v>3441</v>
      </c>
      <c r="G53" s="379">
        <f t="shared" si="8"/>
        <v>5974</v>
      </c>
      <c r="H53" s="379">
        <f t="shared" si="8"/>
        <v>-2209</v>
      </c>
      <c r="I53" s="379">
        <f t="shared" si="8"/>
        <v>5527</v>
      </c>
      <c r="J53" s="379">
        <f t="shared" si="8"/>
        <v>2767</v>
      </c>
      <c r="K53" s="379">
        <f t="shared" si="8"/>
        <v>3057</v>
      </c>
      <c r="L53" s="379">
        <f t="shared" si="8"/>
        <v>5076</v>
      </c>
      <c r="M53" s="379">
        <f t="shared" si="8"/>
        <v>8109</v>
      </c>
      <c r="N53" s="379">
        <f t="shared" si="8"/>
        <v>6692</v>
      </c>
      <c r="O53" s="379">
        <f t="shared" si="8"/>
        <v>3926</v>
      </c>
      <c r="P53" s="392">
        <f t="shared" si="8"/>
        <v>3582.999999999999</v>
      </c>
      <c r="Q53" s="380">
        <f>SUM(Q32:Q52)</f>
        <v>45991</v>
      </c>
      <c r="R53" s="753">
        <f>Q27+Q31+Q53</f>
        <v>0</v>
      </c>
    </row>
    <row r="54" spans="1:17" s="752" customFormat="1" ht="4.5" customHeight="1" thickBot="1">
      <c r="A54" s="1162"/>
      <c r="B54" s="1165"/>
      <c r="C54" s="1163"/>
      <c r="D54" s="381"/>
      <c r="E54" s="382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558"/>
      <c r="Q54" s="386"/>
    </row>
    <row r="55" spans="1:17" s="750" customFormat="1" ht="15" customHeight="1">
      <c r="A55" s="2057">
        <v>3</v>
      </c>
      <c r="B55" s="2064" t="s">
        <v>547</v>
      </c>
      <c r="C55" s="2028" t="s">
        <v>435</v>
      </c>
      <c r="D55" s="356" t="s">
        <v>436</v>
      </c>
      <c r="E55" s="387">
        <v>0</v>
      </c>
      <c r="F55" s="388">
        <v>0</v>
      </c>
      <c r="G55" s="388">
        <v>0</v>
      </c>
      <c r="H55" s="388">
        <v>0</v>
      </c>
      <c r="I55" s="388">
        <v>0</v>
      </c>
      <c r="J55" s="388">
        <v>-147</v>
      </c>
      <c r="K55" s="388">
        <v>0</v>
      </c>
      <c r="L55" s="388">
        <v>0</v>
      </c>
      <c r="M55" s="388">
        <v>0</v>
      </c>
      <c r="N55" s="388">
        <v>0</v>
      </c>
      <c r="O55" s="388">
        <v>0</v>
      </c>
      <c r="P55" s="560">
        <v>0</v>
      </c>
      <c r="Q55" s="390">
        <f>SUM(E55:P55)</f>
        <v>-147</v>
      </c>
    </row>
    <row r="56" spans="1:17" s="750" customFormat="1" ht="15" customHeight="1">
      <c r="A56" s="2058"/>
      <c r="B56" s="2065"/>
      <c r="C56" s="2029"/>
      <c r="D56" s="360" t="s">
        <v>825</v>
      </c>
      <c r="E56" s="391">
        <v>0</v>
      </c>
      <c r="F56" s="358">
        <v>0</v>
      </c>
      <c r="G56" s="358">
        <v>-2</v>
      </c>
      <c r="H56" s="358">
        <v>0</v>
      </c>
      <c r="I56" s="358">
        <v>-239</v>
      </c>
      <c r="J56" s="358">
        <v>0</v>
      </c>
      <c r="K56" s="358">
        <v>0</v>
      </c>
      <c r="L56" s="555">
        <v>0</v>
      </c>
      <c r="M56" s="358">
        <v>-164</v>
      </c>
      <c r="N56" s="358">
        <v>-505</v>
      </c>
      <c r="O56" s="358">
        <v>-615</v>
      </c>
      <c r="P56" s="554">
        <v>-287</v>
      </c>
      <c r="Q56" s="361">
        <f>SUM(E56:P56)</f>
        <v>-1812</v>
      </c>
    </row>
    <row r="57" spans="1:17" s="750" customFormat="1" ht="15" customHeight="1">
      <c r="A57" s="2058"/>
      <c r="B57" s="2065"/>
      <c r="C57" s="2029"/>
      <c r="D57" s="360" t="s">
        <v>437</v>
      </c>
      <c r="E57" s="391">
        <v>-2068</v>
      </c>
      <c r="F57" s="358">
        <v>-2374</v>
      </c>
      <c r="G57" s="358">
        <v>-775</v>
      </c>
      <c r="H57" s="358">
        <v>-3070</v>
      </c>
      <c r="I57" s="358">
        <v>-1176</v>
      </c>
      <c r="J57" s="358">
        <v>-124</v>
      </c>
      <c r="K57" s="358">
        <v>-370</v>
      </c>
      <c r="L57" s="358">
        <v>-13</v>
      </c>
      <c r="M57" s="358">
        <v>-766</v>
      </c>
      <c r="N57" s="358">
        <v>-571</v>
      </c>
      <c r="O57" s="358">
        <v>-983</v>
      </c>
      <c r="P57" s="554">
        <v>-1823</v>
      </c>
      <c r="Q57" s="361">
        <f>SUM(E57:P57)</f>
        <v>-14113</v>
      </c>
    </row>
    <row r="58" spans="1:17" s="750" customFormat="1" ht="15" customHeight="1">
      <c r="A58" s="2058"/>
      <c r="B58" s="2065"/>
      <c r="C58" s="2029"/>
      <c r="D58" s="363" t="s">
        <v>438</v>
      </c>
      <c r="E58" s="392">
        <f>SUM(E55:E57)</f>
        <v>-2068</v>
      </c>
      <c r="F58" s="365">
        <f aca="true" t="shared" si="9" ref="F58:O58">SUM(F55:F57)</f>
        <v>-2374</v>
      </c>
      <c r="G58" s="365">
        <f t="shared" si="9"/>
        <v>-777</v>
      </c>
      <c r="H58" s="365">
        <f t="shared" si="9"/>
        <v>-3070</v>
      </c>
      <c r="I58" s="365">
        <f t="shared" si="9"/>
        <v>-1415</v>
      </c>
      <c r="J58" s="365">
        <f>SUM(J55:J57)</f>
        <v>-271</v>
      </c>
      <c r="K58" s="365">
        <f t="shared" si="9"/>
        <v>-370</v>
      </c>
      <c r="L58" s="365">
        <f t="shared" si="9"/>
        <v>-13</v>
      </c>
      <c r="M58" s="365">
        <f t="shared" si="9"/>
        <v>-930</v>
      </c>
      <c r="N58" s="365">
        <f t="shared" si="9"/>
        <v>-1076</v>
      </c>
      <c r="O58" s="365">
        <f t="shared" si="9"/>
        <v>-1598</v>
      </c>
      <c r="P58" s="561">
        <f>SUM(P55:P57)</f>
        <v>-2110</v>
      </c>
      <c r="Q58" s="366">
        <f>SUM(Q55:Q57)</f>
        <v>-16072</v>
      </c>
    </row>
    <row r="59" spans="1:17" s="750" customFormat="1" ht="15" customHeight="1">
      <c r="A59" s="2058"/>
      <c r="B59" s="2065"/>
      <c r="C59" s="2029"/>
      <c r="D59" s="360" t="s">
        <v>439</v>
      </c>
      <c r="E59" s="391">
        <v>10158</v>
      </c>
      <c r="F59" s="358">
        <v>12011</v>
      </c>
      <c r="G59" s="358">
        <v>1199</v>
      </c>
      <c r="H59" s="358">
        <v>29412</v>
      </c>
      <c r="I59" s="358">
        <v>9074</v>
      </c>
      <c r="J59" s="358">
        <v>3606</v>
      </c>
      <c r="K59" s="358">
        <v>3286</v>
      </c>
      <c r="L59" s="358">
        <v>192</v>
      </c>
      <c r="M59" s="358">
        <v>6638</v>
      </c>
      <c r="N59" s="358">
        <v>5241</v>
      </c>
      <c r="O59" s="358">
        <v>12166</v>
      </c>
      <c r="P59" s="554">
        <v>10102</v>
      </c>
      <c r="Q59" s="361">
        <f>SUM(E59:P59)</f>
        <v>103085</v>
      </c>
    </row>
    <row r="60" spans="1:17" s="750" customFormat="1" ht="15" customHeight="1">
      <c r="A60" s="2058"/>
      <c r="B60" s="2065"/>
      <c r="C60" s="2029"/>
      <c r="D60" s="360" t="s">
        <v>826</v>
      </c>
      <c r="E60" s="391">
        <v>5176</v>
      </c>
      <c r="F60" s="358">
        <v>0</v>
      </c>
      <c r="G60" s="358">
        <v>146</v>
      </c>
      <c r="H60" s="358">
        <v>0</v>
      </c>
      <c r="I60" s="358">
        <v>9</v>
      </c>
      <c r="J60" s="358">
        <v>19</v>
      </c>
      <c r="K60" s="358">
        <v>0</v>
      </c>
      <c r="L60" s="358">
        <v>676</v>
      </c>
      <c r="M60" s="358">
        <v>119</v>
      </c>
      <c r="N60" s="358">
        <v>54</v>
      </c>
      <c r="O60" s="358">
        <v>0</v>
      </c>
      <c r="P60" s="554">
        <v>4497</v>
      </c>
      <c r="Q60" s="361">
        <f>SUM(E60:P60)</f>
        <v>10696</v>
      </c>
    </row>
    <row r="61" spans="1:17" s="750" customFormat="1" ht="15" customHeight="1">
      <c r="A61" s="2058"/>
      <c r="B61" s="2065"/>
      <c r="C61" s="2029"/>
      <c r="D61" s="360" t="s">
        <v>440</v>
      </c>
      <c r="E61" s="391">
        <v>6353</v>
      </c>
      <c r="F61" s="358">
        <v>3171</v>
      </c>
      <c r="G61" s="358">
        <v>15202</v>
      </c>
      <c r="H61" s="358">
        <v>10538</v>
      </c>
      <c r="I61" s="358">
        <v>7631</v>
      </c>
      <c r="J61" s="358">
        <v>2687</v>
      </c>
      <c r="K61" s="358">
        <v>5190</v>
      </c>
      <c r="L61" s="358">
        <v>12262</v>
      </c>
      <c r="M61" s="358">
        <v>6721</v>
      </c>
      <c r="N61" s="358">
        <v>1693</v>
      </c>
      <c r="O61" s="358">
        <v>21470</v>
      </c>
      <c r="P61" s="554">
        <v>31030</v>
      </c>
      <c r="Q61" s="361">
        <f>SUM(E61:P61)</f>
        <v>123948</v>
      </c>
    </row>
    <row r="62" spans="1:17" s="750" customFormat="1" ht="15" customHeight="1">
      <c r="A62" s="2058"/>
      <c r="B62" s="2065"/>
      <c r="C62" s="2029"/>
      <c r="D62" s="363" t="s">
        <v>441</v>
      </c>
      <c r="E62" s="392">
        <f>SUM(E59:E61)</f>
        <v>21687</v>
      </c>
      <c r="F62" s="365">
        <f aca="true" t="shared" si="10" ref="F62:O62">SUM(F59:F61)</f>
        <v>15182</v>
      </c>
      <c r="G62" s="365">
        <f t="shared" si="10"/>
        <v>16547</v>
      </c>
      <c r="H62" s="365">
        <f t="shared" si="10"/>
        <v>39950</v>
      </c>
      <c r="I62" s="365">
        <f t="shared" si="10"/>
        <v>16714</v>
      </c>
      <c r="J62" s="365">
        <f t="shared" si="10"/>
        <v>6312</v>
      </c>
      <c r="K62" s="365">
        <f t="shared" si="10"/>
        <v>8476</v>
      </c>
      <c r="L62" s="365">
        <f t="shared" si="10"/>
        <v>13130</v>
      </c>
      <c r="M62" s="365">
        <f t="shared" si="10"/>
        <v>13478</v>
      </c>
      <c r="N62" s="365">
        <f t="shared" si="10"/>
        <v>6988</v>
      </c>
      <c r="O62" s="365">
        <f t="shared" si="10"/>
        <v>33636</v>
      </c>
      <c r="P62" s="561">
        <f>SUM(P59:P61)</f>
        <v>45629</v>
      </c>
      <c r="Q62" s="366">
        <f>SUM(Q59:Q61)</f>
        <v>237729</v>
      </c>
    </row>
    <row r="63" spans="1:17" s="750" customFormat="1" ht="15" customHeight="1">
      <c r="A63" s="2058"/>
      <c r="B63" s="2065"/>
      <c r="C63" s="2060" t="s">
        <v>442</v>
      </c>
      <c r="D63" s="370" t="s">
        <v>497</v>
      </c>
      <c r="E63" s="398">
        <v>47550.59999999998</v>
      </c>
      <c r="F63" s="399">
        <v>31931.40000000001</v>
      </c>
      <c r="G63" s="399">
        <v>22787.59999999999</v>
      </c>
      <c r="H63" s="399">
        <v>45447</v>
      </c>
      <c r="I63" s="399">
        <v>17156</v>
      </c>
      <c r="J63" s="399">
        <v>6827</v>
      </c>
      <c r="K63" s="399">
        <v>18204</v>
      </c>
      <c r="L63" s="399">
        <v>13300</v>
      </c>
      <c r="M63" s="399">
        <v>14072</v>
      </c>
      <c r="N63" s="399">
        <v>10937</v>
      </c>
      <c r="O63" s="371">
        <v>33121</v>
      </c>
      <c r="P63" s="556">
        <v>60433.20000000001</v>
      </c>
      <c r="Q63" s="400">
        <f>SUM(E63:P63)</f>
        <v>321766.8</v>
      </c>
    </row>
    <row r="64" spans="1:17" s="751" customFormat="1" ht="15" customHeight="1">
      <c r="A64" s="2058"/>
      <c r="B64" s="2065"/>
      <c r="C64" s="2029"/>
      <c r="D64" s="363" t="s">
        <v>443</v>
      </c>
      <c r="E64" s="401">
        <f>SUM(E63)</f>
        <v>47550.59999999998</v>
      </c>
      <c r="F64" s="402">
        <f aca="true" t="shared" si="11" ref="F64:P64">SUM(F63)</f>
        <v>31931.40000000001</v>
      </c>
      <c r="G64" s="402">
        <f t="shared" si="11"/>
        <v>22787.59999999999</v>
      </c>
      <c r="H64" s="402">
        <f t="shared" si="11"/>
        <v>45447</v>
      </c>
      <c r="I64" s="402">
        <f t="shared" si="11"/>
        <v>17156</v>
      </c>
      <c r="J64" s="402">
        <f t="shared" si="11"/>
        <v>6827</v>
      </c>
      <c r="K64" s="402">
        <f t="shared" si="11"/>
        <v>18204</v>
      </c>
      <c r="L64" s="402">
        <f t="shared" si="11"/>
        <v>13300</v>
      </c>
      <c r="M64" s="402">
        <f t="shared" si="11"/>
        <v>14072</v>
      </c>
      <c r="N64" s="402">
        <f t="shared" si="11"/>
        <v>10937</v>
      </c>
      <c r="O64" s="368">
        <f t="shared" si="11"/>
        <v>33121</v>
      </c>
      <c r="P64" s="563">
        <f t="shared" si="11"/>
        <v>60433.20000000001</v>
      </c>
      <c r="Q64" s="403">
        <f>SUM(Q63:Q63)</f>
        <v>321766.8</v>
      </c>
    </row>
    <row r="65" spans="1:17" s="751" customFormat="1" ht="15" customHeight="1">
      <c r="A65" s="2058"/>
      <c r="B65" s="2065"/>
      <c r="C65" s="2060" t="s">
        <v>444</v>
      </c>
      <c r="D65" s="370" t="s">
        <v>1323</v>
      </c>
      <c r="E65" s="404"/>
      <c r="F65" s="375"/>
      <c r="G65" s="375"/>
      <c r="H65" s="375"/>
      <c r="I65" s="375"/>
      <c r="J65" s="375"/>
      <c r="K65" s="375"/>
      <c r="L65" s="375"/>
      <c r="M65" s="375"/>
      <c r="N65" s="375">
        <v>14</v>
      </c>
      <c r="O65" s="375"/>
      <c r="P65" s="375"/>
      <c r="Q65" s="361">
        <f>SUM(E65:P65)</f>
        <v>14</v>
      </c>
    </row>
    <row r="66" spans="1:17" s="751" customFormat="1" ht="15" customHeight="1">
      <c r="A66" s="2058"/>
      <c r="B66" s="2065"/>
      <c r="C66" s="2029"/>
      <c r="D66" s="370" t="s">
        <v>1304</v>
      </c>
      <c r="E66" s="404"/>
      <c r="F66" s="375"/>
      <c r="G66" s="375"/>
      <c r="H66" s="375"/>
      <c r="I66" s="375"/>
      <c r="J66" s="375"/>
      <c r="K66" s="375"/>
      <c r="L66" s="375"/>
      <c r="M66" s="375"/>
      <c r="N66" s="375">
        <v>-14</v>
      </c>
      <c r="O66" s="375"/>
      <c r="P66" s="375"/>
      <c r="Q66" s="361">
        <f>SUM(E66:P66)</f>
        <v>-14</v>
      </c>
    </row>
    <row r="67" spans="1:17" s="750" customFormat="1" ht="15" customHeight="1">
      <c r="A67" s="2058"/>
      <c r="B67" s="2065"/>
      <c r="C67" s="2029"/>
      <c r="D67" s="370" t="s">
        <v>832</v>
      </c>
      <c r="E67" s="405">
        <v>331.5999999999999</v>
      </c>
      <c r="F67" s="406">
        <v>147.4</v>
      </c>
      <c r="G67" s="406">
        <v>42.599999999999994</v>
      </c>
      <c r="H67" s="406"/>
      <c r="I67" s="399"/>
      <c r="J67" s="406"/>
      <c r="K67" s="406"/>
      <c r="L67" s="406"/>
      <c r="M67" s="406"/>
      <c r="N67" s="406"/>
      <c r="O67" s="406"/>
      <c r="P67" s="375"/>
      <c r="Q67" s="361">
        <f>SUM(E67:P67)</f>
        <v>521.5999999999999</v>
      </c>
    </row>
    <row r="68" spans="1:17" s="750" customFormat="1" ht="15" customHeight="1">
      <c r="A68" s="2058"/>
      <c r="B68" s="2065"/>
      <c r="C68" s="2029"/>
      <c r="D68" s="370" t="s">
        <v>531</v>
      </c>
      <c r="E68" s="405"/>
      <c r="F68" s="406"/>
      <c r="G68" s="406"/>
      <c r="H68" s="406"/>
      <c r="I68" s="399"/>
      <c r="J68" s="375"/>
      <c r="K68" s="375"/>
      <c r="L68" s="375"/>
      <c r="M68" s="406"/>
      <c r="N68" s="375"/>
      <c r="O68" s="375"/>
      <c r="P68" s="375"/>
      <c r="Q68" s="361">
        <f>SUM(E68:P68)</f>
        <v>0</v>
      </c>
    </row>
    <row r="69" spans="1:17" s="750" customFormat="1" ht="15" customHeight="1">
      <c r="A69" s="2058"/>
      <c r="B69" s="2065"/>
      <c r="C69" s="2029"/>
      <c r="D69" s="370" t="s">
        <v>544</v>
      </c>
      <c r="E69" s="404">
        <v>27600</v>
      </c>
      <c r="F69" s="375">
        <v>18976</v>
      </c>
      <c r="G69" s="375">
        <v>6975</v>
      </c>
      <c r="H69" s="375">
        <v>10535</v>
      </c>
      <c r="I69" s="371">
        <v>2412</v>
      </c>
      <c r="J69" s="375">
        <v>1040</v>
      </c>
      <c r="K69" s="375">
        <v>10098</v>
      </c>
      <c r="L69" s="375">
        <v>191</v>
      </c>
      <c r="M69" s="375">
        <v>1524</v>
      </c>
      <c r="N69" s="375">
        <v>5025</v>
      </c>
      <c r="O69" s="375">
        <v>1083</v>
      </c>
      <c r="P69" s="375">
        <v>17248.45</v>
      </c>
      <c r="Q69" s="361">
        <f>SUM(E69:P69)</f>
        <v>102707.45</v>
      </c>
    </row>
    <row r="70" spans="1:17" s="750" customFormat="1" ht="15" customHeight="1">
      <c r="A70" s="2058"/>
      <c r="B70" s="2065"/>
      <c r="C70" s="2029"/>
      <c r="D70" s="681" t="s">
        <v>543</v>
      </c>
      <c r="E70" s="682"/>
      <c r="F70" s="683"/>
      <c r="G70" s="683"/>
      <c r="H70" s="683">
        <v>-1968</v>
      </c>
      <c r="I70" s="683">
        <v>-555</v>
      </c>
      <c r="J70" s="683">
        <v>-254</v>
      </c>
      <c r="K70" s="683"/>
      <c r="L70" s="683">
        <v>-8</v>
      </c>
      <c r="M70" s="683"/>
      <c r="N70" s="683"/>
      <c r="O70" s="683"/>
      <c r="P70" s="683">
        <v>-334.25</v>
      </c>
      <c r="Q70" s="361">
        <f>SUM(E70:P70)</f>
        <v>-3119.25</v>
      </c>
    </row>
    <row r="71" spans="1:18" s="751" customFormat="1" ht="15" customHeight="1" thickBot="1">
      <c r="A71" s="2059"/>
      <c r="B71" s="2066"/>
      <c r="C71" s="2031"/>
      <c r="D71" s="377" t="s">
        <v>446</v>
      </c>
      <c r="E71" s="407">
        <f aca="true" t="shared" si="12" ref="E71:N71">SUM(E65:E70)</f>
        <v>27931.6</v>
      </c>
      <c r="F71" s="407">
        <f t="shared" si="12"/>
        <v>19123.4</v>
      </c>
      <c r="G71" s="407">
        <f t="shared" si="12"/>
        <v>7017.6</v>
      </c>
      <c r="H71" s="407">
        <f t="shared" si="12"/>
        <v>8567</v>
      </c>
      <c r="I71" s="407">
        <f t="shared" si="12"/>
        <v>1857</v>
      </c>
      <c r="J71" s="407">
        <f t="shared" si="12"/>
        <v>786</v>
      </c>
      <c r="K71" s="407">
        <f t="shared" si="12"/>
        <v>10098</v>
      </c>
      <c r="L71" s="407">
        <f t="shared" si="12"/>
        <v>183</v>
      </c>
      <c r="M71" s="407">
        <f t="shared" si="12"/>
        <v>1524</v>
      </c>
      <c r="N71" s="407">
        <f t="shared" si="12"/>
        <v>5025</v>
      </c>
      <c r="O71" s="407">
        <f>SUM(O65:O70)</f>
        <v>1083</v>
      </c>
      <c r="P71" s="407">
        <f>SUM(P65:P70)</f>
        <v>16914.2</v>
      </c>
      <c r="Q71" s="380">
        <f>SUM(Q65:Q70)</f>
        <v>100109.8</v>
      </c>
      <c r="R71" s="753">
        <f>Q58+Q62-Q64+Q71</f>
        <v>0</v>
      </c>
    </row>
    <row r="72" spans="1:17" s="752" customFormat="1" ht="4.5" customHeight="1" thickBot="1">
      <c r="A72" s="1162"/>
      <c r="B72" s="1165"/>
      <c r="C72" s="1163"/>
      <c r="D72" s="381"/>
      <c r="E72" s="382"/>
      <c r="F72" s="383"/>
      <c r="G72" s="383"/>
      <c r="H72" s="383"/>
      <c r="I72" s="383"/>
      <c r="J72" s="383"/>
      <c r="K72" s="558"/>
      <c r="L72" s="564"/>
      <c r="M72" s="564"/>
      <c r="N72" s="385"/>
      <c r="O72" s="383"/>
      <c r="P72" s="558"/>
      <c r="Q72" s="386"/>
    </row>
    <row r="73" spans="1:17" s="750" customFormat="1" ht="15" customHeight="1">
      <c r="A73" s="2057">
        <v>4</v>
      </c>
      <c r="B73" s="2064" t="s">
        <v>648</v>
      </c>
      <c r="C73" s="2028" t="s">
        <v>435</v>
      </c>
      <c r="D73" s="356" t="s">
        <v>436</v>
      </c>
      <c r="E73" s="387"/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560"/>
      <c r="Q73" s="390">
        <f>SUM(E73:P73)</f>
        <v>0</v>
      </c>
    </row>
    <row r="74" spans="1:17" s="750" customFormat="1" ht="15" customHeight="1">
      <c r="A74" s="2058"/>
      <c r="B74" s="2065"/>
      <c r="C74" s="2029"/>
      <c r="D74" s="360" t="s">
        <v>825</v>
      </c>
      <c r="E74" s="391"/>
      <c r="F74" s="358"/>
      <c r="G74" s="358"/>
      <c r="H74" s="358"/>
      <c r="I74" s="358"/>
      <c r="J74" s="358"/>
      <c r="K74" s="358"/>
      <c r="L74" s="555"/>
      <c r="M74" s="358"/>
      <c r="N74" s="358"/>
      <c r="O74" s="358"/>
      <c r="P74" s="554"/>
      <c r="Q74" s="361">
        <f>SUM(E74:P74)</f>
        <v>0</v>
      </c>
    </row>
    <row r="75" spans="1:17" s="750" customFormat="1" ht="15" customHeight="1">
      <c r="A75" s="2058"/>
      <c r="B75" s="2065"/>
      <c r="C75" s="2029"/>
      <c r="D75" s="360" t="s">
        <v>437</v>
      </c>
      <c r="E75" s="391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554"/>
      <c r="Q75" s="361">
        <f>SUM(E75:P75)</f>
        <v>0</v>
      </c>
    </row>
    <row r="76" spans="1:17" s="750" customFormat="1" ht="15" customHeight="1">
      <c r="A76" s="2058"/>
      <c r="B76" s="2065"/>
      <c r="C76" s="2029"/>
      <c r="D76" s="363" t="s">
        <v>438</v>
      </c>
      <c r="E76" s="392">
        <f>SUM(E73:E75)</f>
        <v>0</v>
      </c>
      <c r="F76" s="365">
        <f>SUM(F73:F75)</f>
        <v>0</v>
      </c>
      <c r="G76" s="365">
        <f>SUM(G73:G75)</f>
        <v>0</v>
      </c>
      <c r="H76" s="365">
        <f>SUM(H73:H75)</f>
        <v>0</v>
      </c>
      <c r="I76" s="365">
        <f>SUM(I73:I75)</f>
        <v>0</v>
      </c>
      <c r="J76" s="365">
        <f>SUM(J73:J75)</f>
        <v>0</v>
      </c>
      <c r="K76" s="365">
        <f>SUM(K73:K75)</f>
        <v>0</v>
      </c>
      <c r="L76" s="365">
        <f>SUM(L73:L75)</f>
        <v>0</v>
      </c>
      <c r="M76" s="365">
        <f>SUM(M73:M75)</f>
        <v>0</v>
      </c>
      <c r="N76" s="365">
        <f>SUM(N73:N75)</f>
        <v>0</v>
      </c>
      <c r="O76" s="365">
        <f>SUM(O73:O75)</f>
        <v>0</v>
      </c>
      <c r="P76" s="561">
        <f>SUM(P73:P75)</f>
        <v>0</v>
      </c>
      <c r="Q76" s="366">
        <f>SUM(Q73:Q75)</f>
        <v>0</v>
      </c>
    </row>
    <row r="77" spans="1:17" s="750" customFormat="1" ht="15" customHeight="1">
      <c r="A77" s="2058"/>
      <c r="B77" s="2065"/>
      <c r="C77" s="2029"/>
      <c r="D77" s="360" t="s">
        <v>439</v>
      </c>
      <c r="E77" s="391"/>
      <c r="F77" s="358"/>
      <c r="G77" s="358"/>
      <c r="H77" s="358"/>
      <c r="I77" s="358"/>
      <c r="J77" s="358"/>
      <c r="K77" s="358"/>
      <c r="L77" s="358"/>
      <c r="M77" s="358"/>
      <c r="N77" s="358"/>
      <c r="O77" s="358"/>
      <c r="P77" s="554"/>
      <c r="Q77" s="361">
        <f>SUM(E77:P77)</f>
        <v>0</v>
      </c>
    </row>
    <row r="78" spans="1:17" s="750" customFormat="1" ht="15" customHeight="1">
      <c r="A78" s="2058"/>
      <c r="B78" s="2065"/>
      <c r="C78" s="2029"/>
      <c r="D78" s="360" t="s">
        <v>826</v>
      </c>
      <c r="E78" s="391"/>
      <c r="F78" s="358"/>
      <c r="G78" s="358"/>
      <c r="H78" s="358"/>
      <c r="I78" s="358"/>
      <c r="J78" s="358"/>
      <c r="K78" s="358"/>
      <c r="L78" s="358"/>
      <c r="M78" s="358"/>
      <c r="N78" s="358"/>
      <c r="O78" s="358"/>
      <c r="P78" s="554"/>
      <c r="Q78" s="361">
        <f>SUM(E78:P78)</f>
        <v>0</v>
      </c>
    </row>
    <row r="79" spans="1:17" s="750" customFormat="1" ht="15" customHeight="1">
      <c r="A79" s="2058"/>
      <c r="B79" s="2065"/>
      <c r="C79" s="2029"/>
      <c r="D79" s="360" t="s">
        <v>440</v>
      </c>
      <c r="E79" s="391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554"/>
      <c r="Q79" s="361">
        <f>SUM(E79:P79)</f>
        <v>0</v>
      </c>
    </row>
    <row r="80" spans="1:17" s="750" customFormat="1" ht="15" customHeight="1">
      <c r="A80" s="2058"/>
      <c r="B80" s="2065"/>
      <c r="C80" s="2029"/>
      <c r="D80" s="363" t="s">
        <v>441</v>
      </c>
      <c r="E80" s="392">
        <f>SUM(E77:E79)</f>
        <v>0</v>
      </c>
      <c r="F80" s="365">
        <f aca="true" t="shared" si="13" ref="F80:O80">SUM(F77:F79)</f>
        <v>0</v>
      </c>
      <c r="G80" s="365">
        <f t="shared" si="13"/>
        <v>0</v>
      </c>
      <c r="H80" s="365">
        <f t="shared" si="13"/>
        <v>0</v>
      </c>
      <c r="I80" s="365">
        <f t="shared" si="13"/>
        <v>0</v>
      </c>
      <c r="J80" s="365">
        <f t="shared" si="13"/>
        <v>0</v>
      </c>
      <c r="K80" s="365">
        <f t="shared" si="13"/>
        <v>0</v>
      </c>
      <c r="L80" s="365">
        <f t="shared" si="13"/>
        <v>0</v>
      </c>
      <c r="M80" s="365">
        <f t="shared" si="13"/>
        <v>0</v>
      </c>
      <c r="N80" s="365">
        <f t="shared" si="13"/>
        <v>0</v>
      </c>
      <c r="O80" s="365">
        <f t="shared" si="13"/>
        <v>0</v>
      </c>
      <c r="P80" s="561">
        <f>SUM(P77:P79)</f>
        <v>0</v>
      </c>
      <c r="Q80" s="366">
        <f>SUM(Q77:Q79)</f>
        <v>0</v>
      </c>
    </row>
    <row r="81" spans="1:17" s="750" customFormat="1" ht="15" customHeight="1">
      <c r="A81" s="2058"/>
      <c r="B81" s="2065"/>
      <c r="C81" s="2060" t="s">
        <v>442</v>
      </c>
      <c r="D81" s="409" t="s">
        <v>649</v>
      </c>
      <c r="E81" s="372">
        <v>23561</v>
      </c>
      <c r="F81" s="371">
        <v>18223</v>
      </c>
      <c r="G81" s="371">
        <v>21369</v>
      </c>
      <c r="H81" s="371">
        <v>16718</v>
      </c>
      <c r="I81" s="371">
        <v>14885</v>
      </c>
      <c r="J81" s="371">
        <v>12036</v>
      </c>
      <c r="K81" s="371">
        <v>16251</v>
      </c>
      <c r="L81" s="371">
        <v>19858</v>
      </c>
      <c r="M81" s="371">
        <v>21697</v>
      </c>
      <c r="N81" s="371">
        <v>15016</v>
      </c>
      <c r="O81" s="371">
        <v>20620</v>
      </c>
      <c r="P81" s="371">
        <v>35994</v>
      </c>
      <c r="Q81" s="361">
        <f>SUM(E81:P81)</f>
        <v>236228</v>
      </c>
    </row>
    <row r="82" spans="1:17" s="751" customFormat="1" ht="15" customHeight="1">
      <c r="A82" s="2058"/>
      <c r="B82" s="2065"/>
      <c r="C82" s="2029"/>
      <c r="D82" s="410" t="s">
        <v>443</v>
      </c>
      <c r="E82" s="411">
        <f aca="true" t="shared" si="14" ref="E82:P82">SUM(E81)</f>
        <v>23561</v>
      </c>
      <c r="F82" s="368">
        <f t="shared" si="14"/>
        <v>18223</v>
      </c>
      <c r="G82" s="368">
        <f t="shared" si="14"/>
        <v>21369</v>
      </c>
      <c r="H82" s="368">
        <f t="shared" si="14"/>
        <v>16718</v>
      </c>
      <c r="I82" s="368">
        <f t="shared" si="14"/>
        <v>14885</v>
      </c>
      <c r="J82" s="368">
        <f t="shared" si="14"/>
        <v>12036</v>
      </c>
      <c r="K82" s="368">
        <f t="shared" si="14"/>
        <v>16251</v>
      </c>
      <c r="L82" s="368">
        <f t="shared" si="14"/>
        <v>19858</v>
      </c>
      <c r="M82" s="368">
        <f t="shared" si="14"/>
        <v>21697</v>
      </c>
      <c r="N82" s="368">
        <f t="shared" si="14"/>
        <v>15016</v>
      </c>
      <c r="O82" s="368">
        <f t="shared" si="14"/>
        <v>20620</v>
      </c>
      <c r="P82" s="563">
        <f t="shared" si="14"/>
        <v>35994</v>
      </c>
      <c r="Q82" s="373">
        <f>SUM(Q81:Q81)</f>
        <v>236228</v>
      </c>
    </row>
    <row r="83" spans="1:17" s="750" customFormat="1" ht="15" customHeight="1">
      <c r="A83" s="2058"/>
      <c r="B83" s="2065"/>
      <c r="C83" s="2060" t="s">
        <v>444</v>
      </c>
      <c r="D83" s="370" t="s">
        <v>735</v>
      </c>
      <c r="E83" s="412">
        <v>23561</v>
      </c>
      <c r="F83" s="396">
        <v>18223</v>
      </c>
      <c r="G83" s="375">
        <v>21369</v>
      </c>
      <c r="H83" s="396">
        <v>16718</v>
      </c>
      <c r="I83" s="375">
        <v>14885</v>
      </c>
      <c r="J83" s="375">
        <v>12036</v>
      </c>
      <c r="K83" s="412">
        <v>16251</v>
      </c>
      <c r="L83" s="375">
        <v>19858</v>
      </c>
      <c r="M83" s="375">
        <v>21697</v>
      </c>
      <c r="N83" s="375">
        <v>15016</v>
      </c>
      <c r="O83" s="375">
        <v>20620</v>
      </c>
      <c r="P83" s="375">
        <v>35994</v>
      </c>
      <c r="Q83" s="361">
        <f>SUM(E83:P83)</f>
        <v>236228</v>
      </c>
    </row>
    <row r="84" spans="1:18" s="751" customFormat="1" ht="15" customHeight="1" thickBot="1">
      <c r="A84" s="2059"/>
      <c r="B84" s="2066"/>
      <c r="C84" s="2031"/>
      <c r="D84" s="377" t="s">
        <v>446</v>
      </c>
      <c r="E84" s="408">
        <f>SUM(E83:E83)</f>
        <v>23561</v>
      </c>
      <c r="F84" s="379">
        <f>SUM(F83:F83)</f>
        <v>18223</v>
      </c>
      <c r="G84" s="413">
        <f aca="true" t="shared" si="15" ref="G84:P84">SUM(G83:G83)</f>
        <v>21369</v>
      </c>
      <c r="H84" s="413">
        <f t="shared" si="15"/>
        <v>16718</v>
      </c>
      <c r="I84" s="413">
        <f t="shared" si="15"/>
        <v>14885</v>
      </c>
      <c r="J84" s="565">
        <f t="shared" si="15"/>
        <v>12036</v>
      </c>
      <c r="K84" s="379">
        <f t="shared" si="15"/>
        <v>16251</v>
      </c>
      <c r="L84" s="379">
        <f t="shared" si="15"/>
        <v>19858</v>
      </c>
      <c r="M84" s="413">
        <f t="shared" si="15"/>
        <v>21697</v>
      </c>
      <c r="N84" s="413">
        <f t="shared" si="15"/>
        <v>15016</v>
      </c>
      <c r="O84" s="413">
        <f t="shared" si="15"/>
        <v>20620</v>
      </c>
      <c r="P84" s="557">
        <f t="shared" si="15"/>
        <v>35994</v>
      </c>
      <c r="Q84" s="380">
        <f>SUM(Q83:Q83)</f>
        <v>236228</v>
      </c>
      <c r="R84" s="753">
        <f>Q82-Q84</f>
        <v>0</v>
      </c>
    </row>
    <row r="85" spans="1:17" s="752" customFormat="1" ht="4.5" customHeight="1" thickBot="1">
      <c r="A85" s="1162"/>
      <c r="B85" s="1165"/>
      <c r="C85" s="1163"/>
      <c r="D85" s="414"/>
      <c r="E85" s="382"/>
      <c r="F85" s="383"/>
      <c r="G85" s="383"/>
      <c r="H85" s="383"/>
      <c r="I85" s="383"/>
      <c r="J85" s="383"/>
      <c r="K85" s="558"/>
      <c r="L85" s="564"/>
      <c r="M85" s="564"/>
      <c r="N85" s="385"/>
      <c r="O85" s="383"/>
      <c r="P85" s="558"/>
      <c r="Q85" s="386"/>
    </row>
    <row r="86" spans="1:17" s="750" customFormat="1" ht="15" customHeight="1">
      <c r="A86" s="2057">
        <v>5</v>
      </c>
      <c r="B86" s="2064" t="s">
        <v>450</v>
      </c>
      <c r="C86" s="2028" t="s">
        <v>435</v>
      </c>
      <c r="D86" s="415" t="s">
        <v>436</v>
      </c>
      <c r="E86" s="387">
        <v>-8178</v>
      </c>
      <c r="F86" s="388">
        <v>-4517</v>
      </c>
      <c r="G86" s="416">
        <v>-26120</v>
      </c>
      <c r="H86" s="388">
        <v>-2742</v>
      </c>
      <c r="I86" s="388">
        <v>-1885</v>
      </c>
      <c r="J86" s="388">
        <v>-25298</v>
      </c>
      <c r="K86" s="388">
        <v>-56095</v>
      </c>
      <c r="L86" s="559">
        <v>-38546</v>
      </c>
      <c r="M86" s="358">
        <v>-7515</v>
      </c>
      <c r="N86" s="388">
        <v>-3884</v>
      </c>
      <c r="O86" s="388">
        <v>-6207</v>
      </c>
      <c r="P86" s="560">
        <v>-12760</v>
      </c>
      <c r="Q86" s="390">
        <f>SUM(E86:P86)</f>
        <v>-193747</v>
      </c>
    </row>
    <row r="87" spans="1:17" s="750" customFormat="1" ht="15" customHeight="1">
      <c r="A87" s="2058"/>
      <c r="B87" s="2065"/>
      <c r="C87" s="2029"/>
      <c r="D87" s="360" t="s">
        <v>825</v>
      </c>
      <c r="E87" s="391">
        <v>-21333</v>
      </c>
      <c r="F87" s="358">
        <v>-10426</v>
      </c>
      <c r="G87" s="417">
        <v>-5100</v>
      </c>
      <c r="H87" s="358">
        <v>-11748</v>
      </c>
      <c r="I87" s="358">
        <v>-20170</v>
      </c>
      <c r="J87" s="358">
        <v>-15394</v>
      </c>
      <c r="K87" s="358">
        <v>-1206</v>
      </c>
      <c r="L87" s="555">
        <v>-1148</v>
      </c>
      <c r="M87" s="358">
        <v>-21755</v>
      </c>
      <c r="N87" s="358">
        <v>-9741</v>
      </c>
      <c r="O87" s="358">
        <v>-20990</v>
      </c>
      <c r="P87" s="554">
        <v>-6656</v>
      </c>
      <c r="Q87" s="361">
        <f>SUM(E87:P87)</f>
        <v>-145667</v>
      </c>
    </row>
    <row r="88" spans="1:17" s="750" customFormat="1" ht="15" customHeight="1">
      <c r="A88" s="2058"/>
      <c r="B88" s="2065"/>
      <c r="C88" s="2029"/>
      <c r="D88" s="360" t="s">
        <v>437</v>
      </c>
      <c r="E88" s="391">
        <v>-36801</v>
      </c>
      <c r="F88" s="358">
        <v>-40089</v>
      </c>
      <c r="G88" s="417">
        <v>-11610</v>
      </c>
      <c r="H88" s="358">
        <v>-43582</v>
      </c>
      <c r="I88" s="358">
        <v>-44390</v>
      </c>
      <c r="J88" s="358">
        <v>-25044</v>
      </c>
      <c r="K88" s="358">
        <v>-3391</v>
      </c>
      <c r="L88" s="555">
        <v>-2363</v>
      </c>
      <c r="M88" s="358">
        <v>-28931</v>
      </c>
      <c r="N88" s="358">
        <v>-26782</v>
      </c>
      <c r="O88" s="358">
        <v>-14643</v>
      </c>
      <c r="P88" s="554">
        <v>-7832</v>
      </c>
      <c r="Q88" s="361">
        <f>SUM(E88:P88)</f>
        <v>-285458</v>
      </c>
    </row>
    <row r="89" spans="1:17" s="750" customFormat="1" ht="15" customHeight="1">
      <c r="A89" s="2058"/>
      <c r="B89" s="2065"/>
      <c r="C89" s="2029"/>
      <c r="D89" s="363" t="s">
        <v>438</v>
      </c>
      <c r="E89" s="418">
        <f>SUM(E86:E88)</f>
        <v>-66312</v>
      </c>
      <c r="F89" s="365">
        <f>SUM(F86:F88)</f>
        <v>-55032</v>
      </c>
      <c r="G89" s="365">
        <f>SUM(G86:G88)</f>
        <v>-42830</v>
      </c>
      <c r="H89" s="365">
        <f>SUM(H86:H88)</f>
        <v>-58072</v>
      </c>
      <c r="I89" s="365">
        <f>SUM(I86:I88)</f>
        <v>-66445</v>
      </c>
      <c r="J89" s="365">
        <f>SUM(J86:J88)</f>
        <v>-65736</v>
      </c>
      <c r="K89" s="365">
        <f>SUM(K86:K88)</f>
        <v>-60692</v>
      </c>
      <c r="L89" s="365">
        <f>SUM(L86:L88)</f>
        <v>-42057</v>
      </c>
      <c r="M89" s="365">
        <f>SUM(M86:M88)</f>
        <v>-58201</v>
      </c>
      <c r="N89" s="365">
        <f>SUM(N86:N88)</f>
        <v>-40407</v>
      </c>
      <c r="O89" s="365">
        <f>SUM(O86:O88)</f>
        <v>-41840</v>
      </c>
      <c r="P89" s="561">
        <f>SUM(P86:P88)</f>
        <v>-27248</v>
      </c>
      <c r="Q89" s="366">
        <f>SUM(Q86:Q88)</f>
        <v>-624872</v>
      </c>
    </row>
    <row r="90" spans="1:17" s="750" customFormat="1" ht="15" customHeight="1">
      <c r="A90" s="2058"/>
      <c r="B90" s="2065"/>
      <c r="C90" s="2029"/>
      <c r="D90" s="360" t="s">
        <v>439</v>
      </c>
      <c r="E90" s="391">
        <v>21215</v>
      </c>
      <c r="F90" s="358">
        <v>18383</v>
      </c>
      <c r="G90" s="417">
        <v>6583</v>
      </c>
      <c r="H90" s="358">
        <v>42532</v>
      </c>
      <c r="I90" s="358">
        <v>44316</v>
      </c>
      <c r="J90" s="358">
        <v>15006</v>
      </c>
      <c r="K90" s="358">
        <v>2316</v>
      </c>
      <c r="L90" s="555">
        <v>914</v>
      </c>
      <c r="M90" s="358">
        <v>41074</v>
      </c>
      <c r="N90" s="358">
        <v>28996</v>
      </c>
      <c r="O90" s="358">
        <v>30725</v>
      </c>
      <c r="P90" s="554">
        <v>18411</v>
      </c>
      <c r="Q90" s="361">
        <f>SUM(E90:P90)</f>
        <v>270471</v>
      </c>
    </row>
    <row r="91" spans="1:19" s="750" customFormat="1" ht="15" customHeight="1">
      <c r="A91" s="2058"/>
      <c r="B91" s="2065"/>
      <c r="C91" s="2029"/>
      <c r="D91" s="360" t="s">
        <v>826</v>
      </c>
      <c r="E91" s="391">
        <v>4553</v>
      </c>
      <c r="F91" s="358">
        <v>2865</v>
      </c>
      <c r="G91" s="417">
        <v>8791</v>
      </c>
      <c r="H91" s="358">
        <v>6664</v>
      </c>
      <c r="I91" s="358">
        <v>560</v>
      </c>
      <c r="J91" s="358">
        <v>6250</v>
      </c>
      <c r="K91" s="358">
        <v>2322</v>
      </c>
      <c r="L91" s="555">
        <v>5672</v>
      </c>
      <c r="M91" s="358">
        <v>1285</v>
      </c>
      <c r="N91" s="358">
        <v>973</v>
      </c>
      <c r="O91" s="358">
        <v>8938</v>
      </c>
      <c r="P91" s="554">
        <v>16645</v>
      </c>
      <c r="Q91" s="361">
        <f>SUM(E91:P91)</f>
        <v>65518</v>
      </c>
      <c r="S91" s="754"/>
    </row>
    <row r="92" spans="1:19" s="750" customFormat="1" ht="15" customHeight="1">
      <c r="A92" s="2058"/>
      <c r="B92" s="2065"/>
      <c r="C92" s="2029"/>
      <c r="D92" s="360" t="s">
        <v>440</v>
      </c>
      <c r="E92" s="391">
        <v>3552</v>
      </c>
      <c r="F92" s="358">
        <v>3047</v>
      </c>
      <c r="G92" s="417">
        <v>11664</v>
      </c>
      <c r="H92" s="358">
        <v>4302</v>
      </c>
      <c r="I92" s="358">
        <v>3895</v>
      </c>
      <c r="J92" s="358">
        <v>27076</v>
      </c>
      <c r="K92" s="358">
        <v>40369</v>
      </c>
      <c r="L92" s="555">
        <v>27726</v>
      </c>
      <c r="M92" s="358">
        <v>8397</v>
      </c>
      <c r="N92" s="358">
        <v>3492</v>
      </c>
      <c r="O92" s="358">
        <v>8896</v>
      </c>
      <c r="P92" s="554">
        <v>17925</v>
      </c>
      <c r="Q92" s="361">
        <f>SUM(E92:P92)</f>
        <v>160341</v>
      </c>
      <c r="S92" s="754"/>
    </row>
    <row r="93" spans="1:19" s="750" customFormat="1" ht="15" customHeight="1">
      <c r="A93" s="2058"/>
      <c r="B93" s="2065"/>
      <c r="C93" s="2030"/>
      <c r="D93" s="363" t="s">
        <v>441</v>
      </c>
      <c r="E93" s="418">
        <f>SUM(E90:E92)</f>
        <v>29320</v>
      </c>
      <c r="F93" s="365">
        <f>SUM(F90:F92)</f>
        <v>24295</v>
      </c>
      <c r="G93" s="365">
        <f>SUM(G90:G92)</f>
        <v>27038</v>
      </c>
      <c r="H93" s="365">
        <f>SUM(H90:H92)</f>
        <v>53498</v>
      </c>
      <c r="I93" s="365">
        <f>SUM(I90:I92)</f>
        <v>48771</v>
      </c>
      <c r="J93" s="365">
        <f>SUM(J90:J92)</f>
        <v>48332</v>
      </c>
      <c r="K93" s="365">
        <f>SUM(K90:K92)</f>
        <v>45007</v>
      </c>
      <c r="L93" s="365">
        <f>SUM(L90:L92)</f>
        <v>34312</v>
      </c>
      <c r="M93" s="365">
        <f>SUM(M90:M92)</f>
        <v>50756</v>
      </c>
      <c r="N93" s="365">
        <f>SUM(N90:N92)</f>
        <v>33461</v>
      </c>
      <c r="O93" s="365">
        <f>SUM(O90:O92)</f>
        <v>48559</v>
      </c>
      <c r="P93" s="561">
        <f>SUM(P90:P92)</f>
        <v>52981</v>
      </c>
      <c r="Q93" s="366">
        <f>SUM(Q90:Q92)</f>
        <v>496330</v>
      </c>
      <c r="S93" s="754"/>
    </row>
    <row r="94" spans="1:19" s="750" customFormat="1" ht="15" customHeight="1">
      <c r="A94" s="2058"/>
      <c r="B94" s="2065"/>
      <c r="C94" s="2060" t="s">
        <v>444</v>
      </c>
      <c r="D94" s="409" t="s">
        <v>451</v>
      </c>
      <c r="E94" s="419">
        <v>7602</v>
      </c>
      <c r="F94" s="375">
        <v>9369</v>
      </c>
      <c r="G94" s="420">
        <v>10218</v>
      </c>
      <c r="H94" s="375">
        <v>9826</v>
      </c>
      <c r="I94" s="375">
        <v>9870</v>
      </c>
      <c r="J94" s="375">
        <v>8767</v>
      </c>
      <c r="K94" s="375">
        <v>5551</v>
      </c>
      <c r="L94" s="375">
        <v>7772</v>
      </c>
      <c r="M94" s="375">
        <v>7445</v>
      </c>
      <c r="N94" s="371">
        <v>6946</v>
      </c>
      <c r="O94" s="371">
        <v>7072</v>
      </c>
      <c r="P94" s="556">
        <v>7562</v>
      </c>
      <c r="Q94" s="361">
        <f aca="true" t="shared" si="16" ref="Q94:Q112">SUM(E94:P94)</f>
        <v>98000</v>
      </c>
      <c r="S94" s="754"/>
    </row>
    <row r="95" spans="1:17" s="750" customFormat="1" ht="15" customHeight="1" hidden="1">
      <c r="A95" s="2058"/>
      <c r="B95" s="2065"/>
      <c r="C95" s="2029"/>
      <c r="D95" s="409" t="s">
        <v>452</v>
      </c>
      <c r="E95" s="419"/>
      <c r="F95" s="394"/>
      <c r="G95" s="420"/>
      <c r="H95" s="375"/>
      <c r="I95" s="375"/>
      <c r="J95" s="375"/>
      <c r="K95" s="375"/>
      <c r="L95" s="375"/>
      <c r="M95" s="375"/>
      <c r="N95" s="396"/>
      <c r="O95" s="396"/>
      <c r="P95" s="562"/>
      <c r="Q95" s="361">
        <f t="shared" si="16"/>
        <v>0</v>
      </c>
    </row>
    <row r="96" spans="1:17" s="750" customFormat="1" ht="15" customHeight="1">
      <c r="A96" s="2058"/>
      <c r="B96" s="2065"/>
      <c r="C96" s="2029"/>
      <c r="D96" s="409" t="s">
        <v>460</v>
      </c>
      <c r="E96" s="419"/>
      <c r="F96" s="394"/>
      <c r="G96" s="421">
        <v>-240</v>
      </c>
      <c r="H96" s="375"/>
      <c r="I96" s="375"/>
      <c r="J96" s="375"/>
      <c r="K96" s="394"/>
      <c r="L96" s="375"/>
      <c r="M96" s="375"/>
      <c r="N96" s="396"/>
      <c r="O96" s="396"/>
      <c r="P96" s="562"/>
      <c r="Q96" s="361">
        <f t="shared" si="16"/>
        <v>-240</v>
      </c>
    </row>
    <row r="97" spans="1:17" s="750" customFormat="1" ht="15" customHeight="1">
      <c r="A97" s="2058"/>
      <c r="B97" s="2065"/>
      <c r="C97" s="2029"/>
      <c r="D97" s="409" t="s">
        <v>839</v>
      </c>
      <c r="E97" s="419">
        <v>16062</v>
      </c>
      <c r="F97" s="394">
        <v>998</v>
      </c>
      <c r="G97" s="421"/>
      <c r="H97" s="375"/>
      <c r="I97" s="375"/>
      <c r="J97" s="375"/>
      <c r="K97" s="394">
        <v>2400</v>
      </c>
      <c r="L97" s="375"/>
      <c r="M97" s="375"/>
      <c r="N97" s="396"/>
      <c r="O97" s="396">
        <v>2520</v>
      </c>
      <c r="P97" s="562"/>
      <c r="Q97" s="361">
        <f t="shared" si="16"/>
        <v>21980</v>
      </c>
    </row>
    <row r="98" spans="1:17" s="750" customFormat="1" ht="15" customHeight="1" hidden="1">
      <c r="A98" s="2058"/>
      <c r="B98" s="2065"/>
      <c r="C98" s="2029"/>
      <c r="D98" s="409" t="s">
        <v>833</v>
      </c>
      <c r="E98" s="419"/>
      <c r="F98" s="394"/>
      <c r="G98" s="421"/>
      <c r="H98" s="375"/>
      <c r="I98" s="375"/>
      <c r="J98" s="375"/>
      <c r="K98" s="394"/>
      <c r="L98" s="566"/>
      <c r="M98" s="375"/>
      <c r="N98" s="396"/>
      <c r="O98" s="396"/>
      <c r="P98" s="562"/>
      <c r="Q98" s="361">
        <f t="shared" si="16"/>
        <v>0</v>
      </c>
    </row>
    <row r="99" spans="1:17" s="750" customFormat="1" ht="15" customHeight="1" hidden="1">
      <c r="A99" s="2058"/>
      <c r="B99" s="2065"/>
      <c r="C99" s="2029"/>
      <c r="D99" s="409" t="s">
        <v>834</v>
      </c>
      <c r="E99" s="419"/>
      <c r="F99" s="394"/>
      <c r="G99" s="421"/>
      <c r="H99" s="375"/>
      <c r="I99" s="375"/>
      <c r="J99" s="375"/>
      <c r="K99" s="394"/>
      <c r="L99" s="566"/>
      <c r="M99" s="375"/>
      <c r="N99" s="396"/>
      <c r="O99" s="396"/>
      <c r="P99" s="562"/>
      <c r="Q99" s="361">
        <f t="shared" si="16"/>
        <v>0</v>
      </c>
    </row>
    <row r="100" spans="1:17" s="750" customFormat="1" ht="15" customHeight="1">
      <c r="A100" s="2058"/>
      <c r="B100" s="2065"/>
      <c r="C100" s="2029"/>
      <c r="D100" s="409" t="s">
        <v>835</v>
      </c>
      <c r="E100" s="419"/>
      <c r="F100" s="394"/>
      <c r="G100" s="421"/>
      <c r="H100" s="375"/>
      <c r="I100" s="375"/>
      <c r="J100" s="375"/>
      <c r="K100" s="394"/>
      <c r="L100" s="394">
        <v>8</v>
      </c>
      <c r="M100" s="375"/>
      <c r="N100" s="396"/>
      <c r="O100" s="396"/>
      <c r="P100" s="562"/>
      <c r="Q100" s="361">
        <f t="shared" si="16"/>
        <v>8</v>
      </c>
    </row>
    <row r="101" spans="1:17" s="750" customFormat="1" ht="15" customHeight="1">
      <c r="A101" s="2058"/>
      <c r="B101" s="2065"/>
      <c r="C101" s="2029"/>
      <c r="D101" s="409" t="s">
        <v>838</v>
      </c>
      <c r="E101" s="419"/>
      <c r="F101" s="394"/>
      <c r="G101" s="421"/>
      <c r="H101" s="375">
        <v>-58</v>
      </c>
      <c r="I101" s="375">
        <v>-92</v>
      </c>
      <c r="J101" s="375"/>
      <c r="K101" s="394"/>
      <c r="L101" s="566"/>
      <c r="M101" s="375"/>
      <c r="N101" s="396"/>
      <c r="O101" s="396"/>
      <c r="P101" s="562"/>
      <c r="Q101" s="361">
        <f t="shared" si="16"/>
        <v>-150</v>
      </c>
    </row>
    <row r="102" spans="1:17" s="750" customFormat="1" ht="15" customHeight="1">
      <c r="A102" s="2058"/>
      <c r="B102" s="2065"/>
      <c r="C102" s="2029"/>
      <c r="D102" s="409" t="s">
        <v>834</v>
      </c>
      <c r="E102" s="419"/>
      <c r="F102" s="394"/>
      <c r="G102" s="421"/>
      <c r="H102" s="375">
        <v>240</v>
      </c>
      <c r="I102" s="375">
        <v>-176</v>
      </c>
      <c r="J102" s="375"/>
      <c r="K102" s="394"/>
      <c r="L102" s="566"/>
      <c r="M102" s="375"/>
      <c r="N102" s="396"/>
      <c r="O102" s="396"/>
      <c r="P102" s="562"/>
      <c r="Q102" s="361">
        <f t="shared" si="16"/>
        <v>64</v>
      </c>
    </row>
    <row r="103" spans="1:17" s="750" customFormat="1" ht="15" customHeight="1">
      <c r="A103" s="2058"/>
      <c r="B103" s="2065"/>
      <c r="C103" s="2029"/>
      <c r="D103" s="409" t="s">
        <v>531</v>
      </c>
      <c r="E103" s="419"/>
      <c r="F103" s="394">
        <v>1680</v>
      </c>
      <c r="G103" s="420">
        <v>2016</v>
      </c>
      <c r="H103" s="375">
        <v>2376</v>
      </c>
      <c r="I103" s="375">
        <v>522</v>
      </c>
      <c r="J103" s="375">
        <v>2337</v>
      </c>
      <c r="K103" s="375"/>
      <c r="L103" s="566"/>
      <c r="M103" s="375"/>
      <c r="N103" s="394"/>
      <c r="O103" s="394"/>
      <c r="P103" s="567"/>
      <c r="Q103" s="361">
        <f t="shared" si="16"/>
        <v>8931</v>
      </c>
    </row>
    <row r="104" spans="1:17" s="750" customFormat="1" ht="15" customHeight="1" hidden="1">
      <c r="A104" s="2058"/>
      <c r="B104" s="2065"/>
      <c r="C104" s="2029"/>
      <c r="D104" s="409" t="s">
        <v>548</v>
      </c>
      <c r="E104" s="419"/>
      <c r="F104" s="394"/>
      <c r="G104" s="421">
        <v>-367</v>
      </c>
      <c r="H104" s="375"/>
      <c r="I104" s="375"/>
      <c r="J104" s="375"/>
      <c r="K104" s="394"/>
      <c r="L104" s="566"/>
      <c r="M104" s="375"/>
      <c r="N104" s="394"/>
      <c r="O104" s="394"/>
      <c r="P104" s="567"/>
      <c r="Q104" s="361">
        <f t="shared" si="16"/>
        <v>-367</v>
      </c>
    </row>
    <row r="105" spans="1:17" s="750" customFormat="1" ht="15" customHeight="1" hidden="1">
      <c r="A105" s="2058"/>
      <c r="B105" s="2065"/>
      <c r="C105" s="2029"/>
      <c r="D105" s="409" t="s">
        <v>835</v>
      </c>
      <c r="E105" s="419"/>
      <c r="F105" s="394"/>
      <c r="G105" s="421"/>
      <c r="H105" s="375"/>
      <c r="I105" s="375"/>
      <c r="J105" s="375"/>
      <c r="K105" s="394"/>
      <c r="L105" s="566"/>
      <c r="M105" s="394"/>
      <c r="N105" s="394"/>
      <c r="O105" s="394"/>
      <c r="P105" s="567"/>
      <c r="Q105" s="361">
        <f t="shared" si="16"/>
        <v>0</v>
      </c>
    </row>
    <row r="106" spans="1:19" s="750" customFormat="1" ht="15" customHeight="1">
      <c r="A106" s="2058"/>
      <c r="B106" s="2065"/>
      <c r="C106" s="2029"/>
      <c r="D106" s="409" t="s">
        <v>455</v>
      </c>
      <c r="E106" s="419"/>
      <c r="F106" s="394"/>
      <c r="G106" s="421"/>
      <c r="H106" s="375"/>
      <c r="I106" s="375"/>
      <c r="J106" s="375">
        <v>-900</v>
      </c>
      <c r="K106" s="394"/>
      <c r="L106" s="270"/>
      <c r="M106" s="394"/>
      <c r="N106" s="394"/>
      <c r="O106" s="394">
        <v>-4470</v>
      </c>
      <c r="P106" s="567">
        <v>-9650</v>
      </c>
      <c r="Q106" s="361">
        <f t="shared" si="16"/>
        <v>-15020</v>
      </c>
      <c r="S106" s="755"/>
    </row>
    <row r="107" spans="1:17" s="750" customFormat="1" ht="15" customHeight="1">
      <c r="A107" s="2058"/>
      <c r="B107" s="2065"/>
      <c r="C107" s="2029"/>
      <c r="D107" s="409" t="s">
        <v>445</v>
      </c>
      <c r="E107" s="419">
        <v>13680</v>
      </c>
      <c r="F107" s="394">
        <v>19800</v>
      </c>
      <c r="G107" s="421">
        <v>4205</v>
      </c>
      <c r="H107" s="375"/>
      <c r="I107" s="375">
        <v>7550</v>
      </c>
      <c r="J107" s="375">
        <v>7200</v>
      </c>
      <c r="K107" s="394">
        <v>14130</v>
      </c>
      <c r="L107" s="270"/>
      <c r="M107" s="394"/>
      <c r="N107" s="394"/>
      <c r="O107" s="394"/>
      <c r="P107" s="567"/>
      <c r="Q107" s="361">
        <f t="shared" si="16"/>
        <v>66565</v>
      </c>
    </row>
    <row r="108" spans="1:17" s="750" customFormat="1" ht="15" customHeight="1" hidden="1">
      <c r="A108" s="2058"/>
      <c r="B108" s="2065"/>
      <c r="C108" s="2029"/>
      <c r="D108" s="409" t="s">
        <v>733</v>
      </c>
      <c r="E108" s="419"/>
      <c r="F108" s="394"/>
      <c r="G108" s="421"/>
      <c r="H108" s="375"/>
      <c r="I108" s="375"/>
      <c r="J108" s="375"/>
      <c r="K108" s="394"/>
      <c r="L108" s="270"/>
      <c r="M108" s="394"/>
      <c r="N108" s="394"/>
      <c r="O108" s="394"/>
      <c r="P108" s="567"/>
      <c r="Q108" s="361">
        <f t="shared" si="16"/>
        <v>0</v>
      </c>
    </row>
    <row r="109" spans="1:17" s="750" customFormat="1" ht="15" customHeight="1" hidden="1">
      <c r="A109" s="2058"/>
      <c r="B109" s="2065"/>
      <c r="C109" s="2029"/>
      <c r="D109" s="409" t="s">
        <v>831</v>
      </c>
      <c r="E109" s="419"/>
      <c r="F109" s="394"/>
      <c r="G109" s="421"/>
      <c r="H109" s="375"/>
      <c r="I109" s="375"/>
      <c r="J109" s="375"/>
      <c r="K109" s="394"/>
      <c r="L109" s="566"/>
      <c r="M109" s="394"/>
      <c r="N109" s="394"/>
      <c r="O109" s="394"/>
      <c r="P109" s="567"/>
      <c r="Q109" s="361">
        <f t="shared" si="16"/>
        <v>0</v>
      </c>
    </row>
    <row r="110" spans="1:17" s="750" customFormat="1" ht="15" customHeight="1" hidden="1">
      <c r="A110" s="2058"/>
      <c r="B110" s="2065"/>
      <c r="C110" s="2029"/>
      <c r="D110" s="409" t="s">
        <v>591</v>
      </c>
      <c r="E110" s="419"/>
      <c r="F110" s="394"/>
      <c r="G110" s="421"/>
      <c r="H110" s="375"/>
      <c r="I110" s="375"/>
      <c r="J110" s="375"/>
      <c r="K110" s="394"/>
      <c r="L110" s="566"/>
      <c r="M110" s="394"/>
      <c r="N110" s="394"/>
      <c r="O110" s="394"/>
      <c r="P110" s="567"/>
      <c r="Q110" s="361">
        <f t="shared" si="16"/>
        <v>0</v>
      </c>
    </row>
    <row r="111" spans="1:17" s="750" customFormat="1" ht="15" customHeight="1">
      <c r="A111" s="2058"/>
      <c r="B111" s="2065"/>
      <c r="C111" s="2029"/>
      <c r="D111" s="409" t="s">
        <v>447</v>
      </c>
      <c r="E111" s="419">
        <v>-352</v>
      </c>
      <c r="F111" s="375">
        <v>-1110</v>
      </c>
      <c r="G111" s="421">
        <v>-40</v>
      </c>
      <c r="H111" s="375">
        <v>-7810</v>
      </c>
      <c r="I111" s="375"/>
      <c r="J111" s="375"/>
      <c r="K111" s="394">
        <v>-6396</v>
      </c>
      <c r="L111" s="375">
        <v>-35</v>
      </c>
      <c r="M111" s="394"/>
      <c r="N111" s="394"/>
      <c r="O111" s="394">
        <v>-11841</v>
      </c>
      <c r="P111" s="567">
        <v>-23645</v>
      </c>
      <c r="Q111" s="361">
        <f t="shared" si="16"/>
        <v>-51229</v>
      </c>
    </row>
    <row r="112" spans="1:17" s="750" customFormat="1" ht="15" customHeight="1" hidden="1">
      <c r="A112" s="2058"/>
      <c r="B112" s="2065"/>
      <c r="C112" s="2029"/>
      <c r="D112" s="422" t="s">
        <v>454</v>
      </c>
      <c r="E112" s="419"/>
      <c r="F112" s="394"/>
      <c r="G112" s="420"/>
      <c r="H112" s="375"/>
      <c r="I112" s="375"/>
      <c r="J112" s="375"/>
      <c r="K112" s="568"/>
      <c r="L112" s="270"/>
      <c r="M112" s="568"/>
      <c r="N112" s="568"/>
      <c r="O112" s="568"/>
      <c r="P112" s="569"/>
      <c r="Q112" s="361">
        <f t="shared" si="16"/>
        <v>0</v>
      </c>
    </row>
    <row r="113" spans="1:18" s="751" customFormat="1" ht="15" customHeight="1" thickBot="1">
      <c r="A113" s="2059"/>
      <c r="B113" s="2066"/>
      <c r="C113" s="2031"/>
      <c r="D113" s="423" t="s">
        <v>446</v>
      </c>
      <c r="E113" s="408">
        <f>SUM(E94:E112)</f>
        <v>36992</v>
      </c>
      <c r="F113" s="379">
        <f>SUM(F94:F112)</f>
        <v>30737</v>
      </c>
      <c r="G113" s="424">
        <f>SUM(G94:G112)</f>
        <v>15792</v>
      </c>
      <c r="H113" s="379">
        <f aca="true" t="shared" si="17" ref="H113:P113">SUM(H94:H112)</f>
        <v>4574</v>
      </c>
      <c r="I113" s="379">
        <f t="shared" si="17"/>
        <v>17674</v>
      </c>
      <c r="J113" s="379">
        <f t="shared" si="17"/>
        <v>17404</v>
      </c>
      <c r="K113" s="379">
        <f t="shared" si="17"/>
        <v>15685</v>
      </c>
      <c r="L113" s="379">
        <f t="shared" si="17"/>
        <v>7745</v>
      </c>
      <c r="M113" s="379">
        <f t="shared" si="17"/>
        <v>7445</v>
      </c>
      <c r="N113" s="379">
        <f t="shared" si="17"/>
        <v>6946</v>
      </c>
      <c r="O113" s="379">
        <f t="shared" si="17"/>
        <v>-6719</v>
      </c>
      <c r="P113" s="379">
        <f t="shared" si="17"/>
        <v>-25733</v>
      </c>
      <c r="Q113" s="380">
        <f>SUM(Q94:Q112)</f>
        <v>128542</v>
      </c>
      <c r="R113" s="753">
        <f>Q89+Q93+Q113</f>
        <v>0</v>
      </c>
    </row>
    <row r="114" spans="1:17" s="752" customFormat="1" ht="4.5" customHeight="1" thickBot="1">
      <c r="A114" s="1162"/>
      <c r="B114" s="1165"/>
      <c r="C114" s="1163"/>
      <c r="D114" s="425"/>
      <c r="E114" s="385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558"/>
      <c r="Q114" s="386"/>
    </row>
    <row r="115" spans="1:17" s="750" customFormat="1" ht="15" customHeight="1">
      <c r="A115" s="2057">
        <v>6</v>
      </c>
      <c r="B115" s="2064" t="s">
        <v>129</v>
      </c>
      <c r="C115" s="2028" t="s">
        <v>435</v>
      </c>
      <c r="D115" s="415" t="s">
        <v>436</v>
      </c>
      <c r="E115" s="389">
        <v>0</v>
      </c>
      <c r="F115" s="388">
        <v>-2520</v>
      </c>
      <c r="G115" s="388">
        <v>-1810</v>
      </c>
      <c r="H115" s="388">
        <v>-90</v>
      </c>
      <c r="I115" s="388">
        <v>0</v>
      </c>
      <c r="J115" s="388">
        <v>-840</v>
      </c>
      <c r="K115" s="388">
        <v>-3312</v>
      </c>
      <c r="L115" s="388">
        <v>-25770</v>
      </c>
      <c r="M115" s="388">
        <v>-10209</v>
      </c>
      <c r="N115" s="388">
        <v>0</v>
      </c>
      <c r="O115" s="388">
        <v>-500</v>
      </c>
      <c r="P115" s="560">
        <v>-2386</v>
      </c>
      <c r="Q115" s="390">
        <f>SUM(E115:P115)</f>
        <v>-47437</v>
      </c>
    </row>
    <row r="116" spans="1:17" s="750" customFormat="1" ht="15" customHeight="1">
      <c r="A116" s="2058"/>
      <c r="B116" s="2065"/>
      <c r="C116" s="2029"/>
      <c r="D116" s="426" t="s">
        <v>825</v>
      </c>
      <c r="E116" s="367">
        <v>-21630</v>
      </c>
      <c r="F116" s="358">
        <v>-38014</v>
      </c>
      <c r="G116" s="358">
        <v>-28334</v>
      </c>
      <c r="H116" s="358">
        <v>-28158</v>
      </c>
      <c r="I116" s="358">
        <v>-16784</v>
      </c>
      <c r="J116" s="358">
        <v>-17484</v>
      </c>
      <c r="K116" s="358">
        <v>-21732</v>
      </c>
      <c r="L116" s="358">
        <v>-16702</v>
      </c>
      <c r="M116" s="358">
        <v>-3199</v>
      </c>
      <c r="N116" s="358">
        <v>-21151</v>
      </c>
      <c r="O116" s="358">
        <v>-30386</v>
      </c>
      <c r="P116" s="554">
        <v>-12366</v>
      </c>
      <c r="Q116" s="361">
        <f>SUM(E116:P116)</f>
        <v>-255940</v>
      </c>
    </row>
    <row r="117" spans="1:17" s="750" customFormat="1" ht="15" customHeight="1">
      <c r="A117" s="2058"/>
      <c r="B117" s="2065"/>
      <c r="C117" s="2029"/>
      <c r="D117" s="426" t="s">
        <v>437</v>
      </c>
      <c r="E117" s="367">
        <v>-25577</v>
      </c>
      <c r="F117" s="358">
        <v>-36726</v>
      </c>
      <c r="G117" s="358">
        <v>-11114</v>
      </c>
      <c r="H117" s="358">
        <v>-14294</v>
      </c>
      <c r="I117" s="358">
        <v>-6811</v>
      </c>
      <c r="J117" s="358">
        <v>-31747</v>
      </c>
      <c r="K117" s="358">
        <v>-32158</v>
      </c>
      <c r="L117" s="358">
        <v>-26920</v>
      </c>
      <c r="M117" s="358">
        <v>-19421</v>
      </c>
      <c r="N117" s="358">
        <v>-14489</v>
      </c>
      <c r="O117" s="358">
        <v>-34076</v>
      </c>
      <c r="P117" s="554">
        <v>-8339</v>
      </c>
      <c r="Q117" s="361">
        <f>SUM(E117:P117)</f>
        <v>-261672</v>
      </c>
    </row>
    <row r="118" spans="1:17" s="750" customFormat="1" ht="15" customHeight="1">
      <c r="A118" s="2058"/>
      <c r="B118" s="2065"/>
      <c r="C118" s="2029"/>
      <c r="D118" s="410" t="s">
        <v>438</v>
      </c>
      <c r="E118" s="365">
        <f aca="true" t="shared" si="18" ref="E118:P118">SUM(E115:E117)</f>
        <v>-47207</v>
      </c>
      <c r="F118" s="365">
        <f t="shared" si="18"/>
        <v>-77260</v>
      </c>
      <c r="G118" s="365">
        <f t="shared" si="18"/>
        <v>-41258</v>
      </c>
      <c r="H118" s="365">
        <f t="shared" si="18"/>
        <v>-42542</v>
      </c>
      <c r="I118" s="365">
        <f t="shared" si="18"/>
        <v>-23595</v>
      </c>
      <c r="J118" s="365">
        <f t="shared" si="18"/>
        <v>-50071</v>
      </c>
      <c r="K118" s="365">
        <f t="shared" si="18"/>
        <v>-57202</v>
      </c>
      <c r="L118" s="365">
        <f t="shared" si="18"/>
        <v>-69392</v>
      </c>
      <c r="M118" s="365">
        <f t="shared" si="18"/>
        <v>-32829</v>
      </c>
      <c r="N118" s="365">
        <f t="shared" si="18"/>
        <v>-35640</v>
      </c>
      <c r="O118" s="365">
        <f t="shared" si="18"/>
        <v>-64962</v>
      </c>
      <c r="P118" s="561">
        <f t="shared" si="18"/>
        <v>-23091</v>
      </c>
      <c r="Q118" s="366">
        <f>SUM(Q115:Q117)</f>
        <v>-565049</v>
      </c>
    </row>
    <row r="119" spans="1:17" s="750" customFormat="1" ht="15" customHeight="1">
      <c r="A119" s="2058"/>
      <c r="B119" s="2065"/>
      <c r="C119" s="2029"/>
      <c r="D119" s="426" t="s">
        <v>439</v>
      </c>
      <c r="E119" s="367">
        <v>0</v>
      </c>
      <c r="F119" s="358">
        <v>820</v>
      </c>
      <c r="G119" s="358">
        <v>160</v>
      </c>
      <c r="H119" s="358">
        <v>2682</v>
      </c>
      <c r="I119" s="358">
        <v>2637</v>
      </c>
      <c r="J119" s="358">
        <v>450</v>
      </c>
      <c r="K119" s="362">
        <v>5010</v>
      </c>
      <c r="L119" s="358">
        <v>60</v>
      </c>
      <c r="M119" s="358">
        <v>720</v>
      </c>
      <c r="N119" s="358">
        <v>1630</v>
      </c>
      <c r="O119" s="358">
        <v>10812</v>
      </c>
      <c r="P119" s="554">
        <v>31304</v>
      </c>
      <c r="Q119" s="361">
        <f>SUM(E119:P119)</f>
        <v>56285</v>
      </c>
    </row>
    <row r="120" spans="1:17" s="750" customFormat="1" ht="15" customHeight="1">
      <c r="A120" s="2058"/>
      <c r="B120" s="2065"/>
      <c r="C120" s="2029"/>
      <c r="D120" s="426" t="s">
        <v>826</v>
      </c>
      <c r="E120" s="367">
        <v>28560</v>
      </c>
      <c r="F120" s="358">
        <v>421</v>
      </c>
      <c r="G120" s="358">
        <v>0</v>
      </c>
      <c r="H120" s="358">
        <v>1200</v>
      </c>
      <c r="I120" s="358">
        <v>5344</v>
      </c>
      <c r="J120" s="358">
        <v>0</v>
      </c>
      <c r="K120" s="362">
        <v>1020</v>
      </c>
      <c r="L120" s="358">
        <v>3514</v>
      </c>
      <c r="M120" s="358">
        <v>1364</v>
      </c>
      <c r="N120" s="358">
        <v>10430</v>
      </c>
      <c r="O120" s="358">
        <v>22584</v>
      </c>
      <c r="P120" s="554">
        <v>35281</v>
      </c>
      <c r="Q120" s="361">
        <f>SUM(E120:P120)</f>
        <v>109718</v>
      </c>
    </row>
    <row r="121" spans="1:17" s="750" customFormat="1" ht="15" customHeight="1">
      <c r="A121" s="2058"/>
      <c r="B121" s="2065"/>
      <c r="C121" s="2029"/>
      <c r="D121" s="426" t="s">
        <v>440</v>
      </c>
      <c r="E121" s="367">
        <v>0</v>
      </c>
      <c r="F121" s="358">
        <v>0</v>
      </c>
      <c r="G121" s="358">
        <v>0</v>
      </c>
      <c r="H121" s="358">
        <v>0</v>
      </c>
      <c r="I121" s="358">
        <v>580</v>
      </c>
      <c r="J121" s="358">
        <v>0</v>
      </c>
      <c r="K121" s="362">
        <v>0</v>
      </c>
      <c r="L121" s="358">
        <v>0</v>
      </c>
      <c r="M121" s="358">
        <v>60</v>
      </c>
      <c r="N121" s="358">
        <v>0</v>
      </c>
      <c r="O121" s="358">
        <v>7280</v>
      </c>
      <c r="P121" s="554">
        <v>2650</v>
      </c>
      <c r="Q121" s="361">
        <f>SUM(E121:P121)</f>
        <v>10570</v>
      </c>
    </row>
    <row r="122" spans="1:17" s="750" customFormat="1" ht="15" customHeight="1">
      <c r="A122" s="2058"/>
      <c r="B122" s="2065"/>
      <c r="C122" s="2029"/>
      <c r="D122" s="410" t="s">
        <v>441</v>
      </c>
      <c r="E122" s="365">
        <f aca="true" t="shared" si="19" ref="E122:P122">SUM(E119:E121)</f>
        <v>28560</v>
      </c>
      <c r="F122" s="365">
        <f t="shared" si="19"/>
        <v>1241</v>
      </c>
      <c r="G122" s="365">
        <f t="shared" si="19"/>
        <v>160</v>
      </c>
      <c r="H122" s="365">
        <f t="shared" si="19"/>
        <v>3882</v>
      </c>
      <c r="I122" s="365">
        <f t="shared" si="19"/>
        <v>8561</v>
      </c>
      <c r="J122" s="365">
        <f t="shared" si="19"/>
        <v>450</v>
      </c>
      <c r="K122" s="365">
        <f t="shared" si="19"/>
        <v>6030</v>
      </c>
      <c r="L122" s="365">
        <f t="shared" si="19"/>
        <v>3574</v>
      </c>
      <c r="M122" s="365">
        <f t="shared" si="19"/>
        <v>2144</v>
      </c>
      <c r="N122" s="365">
        <f t="shared" si="19"/>
        <v>12060</v>
      </c>
      <c r="O122" s="365">
        <f t="shared" si="19"/>
        <v>40676</v>
      </c>
      <c r="P122" s="561">
        <f t="shared" si="19"/>
        <v>69235</v>
      </c>
      <c r="Q122" s="366">
        <f>SUM(Q119:Q121)</f>
        <v>176573</v>
      </c>
    </row>
    <row r="123" spans="1:17" s="750" customFormat="1" ht="15" customHeight="1">
      <c r="A123" s="2058"/>
      <c r="B123" s="2065"/>
      <c r="C123" s="2060" t="s">
        <v>444</v>
      </c>
      <c r="D123" s="409" t="s">
        <v>451</v>
      </c>
      <c r="E123" s="372">
        <v>15979</v>
      </c>
      <c r="F123" s="371">
        <v>29422</v>
      </c>
      <c r="G123" s="371">
        <v>27568</v>
      </c>
      <c r="H123" s="371">
        <v>41743</v>
      </c>
      <c r="I123" s="371">
        <v>24604</v>
      </c>
      <c r="J123" s="371">
        <v>18658</v>
      </c>
      <c r="K123" s="396">
        <v>18102</v>
      </c>
      <c r="L123" s="396">
        <v>37441</v>
      </c>
      <c r="M123" s="371">
        <v>12005</v>
      </c>
      <c r="N123" s="371">
        <v>10152</v>
      </c>
      <c r="O123" s="371">
        <v>11786</v>
      </c>
      <c r="P123" s="556">
        <v>11992</v>
      </c>
      <c r="Q123" s="361">
        <f>SUM(E123:P123)</f>
        <v>259452</v>
      </c>
    </row>
    <row r="124" spans="1:17" s="750" customFormat="1" ht="15" customHeight="1" hidden="1">
      <c r="A124" s="2058"/>
      <c r="B124" s="2065"/>
      <c r="C124" s="2029"/>
      <c r="D124" s="409" t="s">
        <v>733</v>
      </c>
      <c r="E124" s="427"/>
      <c r="F124" s="396"/>
      <c r="G124" s="396"/>
      <c r="H124" s="395"/>
      <c r="I124" s="394"/>
      <c r="J124" s="396"/>
      <c r="K124" s="396"/>
      <c r="L124" s="396"/>
      <c r="M124" s="396"/>
      <c r="N124" s="396"/>
      <c r="O124" s="396"/>
      <c r="P124" s="562"/>
      <c r="Q124" s="361">
        <f aca="true" t="shared" si="20" ref="Q124:Q140">SUM(E124:P124)</f>
        <v>0</v>
      </c>
    </row>
    <row r="125" spans="1:17" s="750" customFormat="1" ht="15" customHeight="1" hidden="1">
      <c r="A125" s="2058"/>
      <c r="B125" s="2065"/>
      <c r="C125" s="2029"/>
      <c r="D125" s="409" t="s">
        <v>831</v>
      </c>
      <c r="E125" s="427"/>
      <c r="F125" s="396"/>
      <c r="G125" s="396"/>
      <c r="H125" s="394"/>
      <c r="I125" s="394"/>
      <c r="J125" s="396"/>
      <c r="K125" s="396"/>
      <c r="L125" s="396"/>
      <c r="M125" s="396"/>
      <c r="N125" s="396"/>
      <c r="O125" s="396"/>
      <c r="P125" s="562"/>
      <c r="Q125" s="361">
        <f t="shared" si="20"/>
        <v>0</v>
      </c>
    </row>
    <row r="126" spans="1:17" s="750" customFormat="1" ht="15" customHeight="1">
      <c r="A126" s="2058"/>
      <c r="B126" s="2065"/>
      <c r="C126" s="2029"/>
      <c r="D126" s="409" t="s">
        <v>531</v>
      </c>
      <c r="E126" s="419"/>
      <c r="F126" s="375">
        <v>720</v>
      </c>
      <c r="G126" s="375">
        <v>1834</v>
      </c>
      <c r="H126" s="396">
        <v>955</v>
      </c>
      <c r="I126" s="396">
        <v>1804</v>
      </c>
      <c r="J126" s="396">
        <v>288</v>
      </c>
      <c r="K126" s="396"/>
      <c r="L126" s="396"/>
      <c r="M126" s="396"/>
      <c r="N126" s="396"/>
      <c r="O126" s="396"/>
      <c r="P126" s="562"/>
      <c r="Q126" s="361">
        <f>SUM(E126:P126)</f>
        <v>5601</v>
      </c>
    </row>
    <row r="127" spans="1:17" s="750" customFormat="1" ht="15" customHeight="1" hidden="1">
      <c r="A127" s="2058"/>
      <c r="B127" s="2065"/>
      <c r="C127" s="2029"/>
      <c r="D127" s="409" t="s">
        <v>499</v>
      </c>
      <c r="E127" s="428"/>
      <c r="F127" s="376"/>
      <c r="G127" s="396"/>
      <c r="H127" s="375"/>
      <c r="I127" s="375"/>
      <c r="J127" s="396"/>
      <c r="K127" s="396"/>
      <c r="L127" s="396"/>
      <c r="M127" s="396"/>
      <c r="N127" s="396"/>
      <c r="O127" s="396"/>
      <c r="P127" s="562"/>
      <c r="Q127" s="361">
        <f t="shared" si="20"/>
        <v>0</v>
      </c>
    </row>
    <row r="128" spans="1:17" s="750" customFormat="1" ht="15" customHeight="1" hidden="1">
      <c r="A128" s="2058"/>
      <c r="B128" s="2065"/>
      <c r="C128" s="2029"/>
      <c r="D128" s="409" t="s">
        <v>454</v>
      </c>
      <c r="E128" s="429"/>
      <c r="F128" s="376"/>
      <c r="G128" s="396"/>
      <c r="H128" s="375"/>
      <c r="I128" s="375"/>
      <c r="J128" s="396"/>
      <c r="K128" s="396"/>
      <c r="L128" s="396"/>
      <c r="M128" s="396"/>
      <c r="N128" s="396"/>
      <c r="O128" s="396"/>
      <c r="P128" s="562"/>
      <c r="Q128" s="361">
        <f>SUM(E128:P128)</f>
        <v>0</v>
      </c>
    </row>
    <row r="129" spans="1:17" s="750" customFormat="1" ht="15" customHeight="1" hidden="1">
      <c r="A129" s="2058"/>
      <c r="B129" s="2065"/>
      <c r="C129" s="2029"/>
      <c r="D129" s="409" t="s">
        <v>455</v>
      </c>
      <c r="E129" s="427"/>
      <c r="F129" s="375"/>
      <c r="G129" s="396"/>
      <c r="H129" s="375"/>
      <c r="I129" s="375"/>
      <c r="J129" s="396"/>
      <c r="K129" s="396"/>
      <c r="L129" s="396"/>
      <c r="M129" s="396"/>
      <c r="N129" s="396"/>
      <c r="O129" s="396"/>
      <c r="P129" s="562"/>
      <c r="Q129" s="361">
        <f>SUM(E129:P129)</f>
        <v>0</v>
      </c>
    </row>
    <row r="130" spans="1:17" s="750" customFormat="1" ht="15" customHeight="1">
      <c r="A130" s="2058"/>
      <c r="B130" s="2065"/>
      <c r="C130" s="2029"/>
      <c r="D130" s="409" t="s">
        <v>445</v>
      </c>
      <c r="E130" s="433">
        <v>33160</v>
      </c>
      <c r="F130" s="375">
        <v>66040</v>
      </c>
      <c r="G130" s="396">
        <v>12420</v>
      </c>
      <c r="H130" s="375">
        <v>1460</v>
      </c>
      <c r="I130" s="375">
        <v>7434</v>
      </c>
      <c r="J130" s="396">
        <v>24960</v>
      </c>
      <c r="K130" s="396">
        <v>40200</v>
      </c>
      <c r="L130" s="396">
        <v>40110</v>
      </c>
      <c r="M130" s="396">
        <v>18800</v>
      </c>
      <c r="N130" s="396">
        <v>24170</v>
      </c>
      <c r="O130" s="396">
        <v>45860</v>
      </c>
      <c r="P130" s="562"/>
      <c r="Q130" s="361">
        <f>SUM(E130:P130)</f>
        <v>314614</v>
      </c>
    </row>
    <row r="131" spans="1:17" s="750" customFormat="1" ht="15" customHeight="1">
      <c r="A131" s="2058"/>
      <c r="B131" s="2065"/>
      <c r="C131" s="2029"/>
      <c r="D131" s="409" t="s">
        <v>454</v>
      </c>
      <c r="E131" s="429"/>
      <c r="F131" s="376"/>
      <c r="G131" s="396"/>
      <c r="H131" s="375"/>
      <c r="I131" s="375"/>
      <c r="J131" s="396">
        <v>8559</v>
      </c>
      <c r="K131" s="396"/>
      <c r="L131" s="396"/>
      <c r="M131" s="396"/>
      <c r="N131" s="396"/>
      <c r="O131" s="396"/>
      <c r="P131" s="562"/>
      <c r="Q131" s="361">
        <f>SUM(E131:P131)</f>
        <v>8559</v>
      </c>
    </row>
    <row r="132" spans="1:17" s="750" customFormat="1" ht="15" customHeight="1" hidden="1">
      <c r="A132" s="2058"/>
      <c r="B132" s="2065"/>
      <c r="C132" s="2029"/>
      <c r="D132" s="409" t="s">
        <v>734</v>
      </c>
      <c r="E132" s="429"/>
      <c r="F132" s="376"/>
      <c r="G132" s="396"/>
      <c r="H132" s="375"/>
      <c r="I132" s="375"/>
      <c r="J132" s="396"/>
      <c r="K132" s="396"/>
      <c r="L132" s="396"/>
      <c r="M132" s="396"/>
      <c r="N132" s="396"/>
      <c r="O132" s="396"/>
      <c r="P132" s="562"/>
      <c r="Q132" s="361">
        <f>SUM(E132:P132)</f>
        <v>0</v>
      </c>
    </row>
    <row r="133" spans="1:17" s="750" customFormat="1" ht="15" customHeight="1" hidden="1">
      <c r="A133" s="2058"/>
      <c r="B133" s="2065"/>
      <c r="C133" s="2029"/>
      <c r="D133" s="409" t="s">
        <v>455</v>
      </c>
      <c r="E133" s="429"/>
      <c r="F133" s="376"/>
      <c r="G133" s="396"/>
      <c r="H133" s="375">
        <v>-2448</v>
      </c>
      <c r="I133" s="375"/>
      <c r="J133" s="396"/>
      <c r="K133" s="396"/>
      <c r="L133" s="396"/>
      <c r="M133" s="396"/>
      <c r="N133" s="396"/>
      <c r="O133" s="396"/>
      <c r="P133" s="562"/>
      <c r="Q133" s="361">
        <f>SUM(E133:P133)</f>
        <v>-2448</v>
      </c>
    </row>
    <row r="134" spans="1:17" s="750" customFormat="1" ht="15" customHeight="1">
      <c r="A134" s="2058"/>
      <c r="B134" s="2065"/>
      <c r="C134" s="2029"/>
      <c r="D134" s="409" t="s">
        <v>447</v>
      </c>
      <c r="E134" s="427">
        <v>-30492</v>
      </c>
      <c r="F134" s="375">
        <v>-20163</v>
      </c>
      <c r="G134" s="396">
        <v>-924</v>
      </c>
      <c r="H134" s="375">
        <v>-3050</v>
      </c>
      <c r="I134" s="375">
        <v>-18808</v>
      </c>
      <c r="J134" s="396">
        <v>-2844</v>
      </c>
      <c r="K134" s="396">
        <v>-6130</v>
      </c>
      <c r="L134" s="396">
        <v>-11553</v>
      </c>
      <c r="M134" s="376"/>
      <c r="N134" s="396">
        <v>-10742</v>
      </c>
      <c r="O134" s="396">
        <v>-28080</v>
      </c>
      <c r="P134" s="562">
        <v>-32736</v>
      </c>
      <c r="Q134" s="361">
        <f t="shared" si="20"/>
        <v>-165522</v>
      </c>
    </row>
    <row r="135" spans="1:17" s="750" customFormat="1" ht="15" customHeight="1" hidden="1">
      <c r="A135" s="2058"/>
      <c r="B135" s="2065"/>
      <c r="C135" s="2029"/>
      <c r="D135" s="409" t="s">
        <v>532</v>
      </c>
      <c r="E135" s="427"/>
      <c r="F135" s="375"/>
      <c r="G135" s="396"/>
      <c r="H135" s="394"/>
      <c r="I135" s="394"/>
      <c r="J135" s="396"/>
      <c r="K135" s="396"/>
      <c r="L135" s="396"/>
      <c r="M135" s="395"/>
      <c r="N135" s="396"/>
      <c r="O135" s="396"/>
      <c r="P135" s="562"/>
      <c r="Q135" s="361">
        <f t="shared" si="20"/>
        <v>0</v>
      </c>
    </row>
    <row r="136" spans="1:17" s="750" customFormat="1" ht="15" customHeight="1" hidden="1">
      <c r="A136" s="2058"/>
      <c r="B136" s="2065"/>
      <c r="C136" s="2029"/>
      <c r="D136" s="409" t="s">
        <v>591</v>
      </c>
      <c r="E136" s="419"/>
      <c r="F136" s="375"/>
      <c r="G136" s="396"/>
      <c r="H136" s="396"/>
      <c r="I136" s="396"/>
      <c r="J136" s="396"/>
      <c r="K136" s="396"/>
      <c r="L136" s="396"/>
      <c r="M136" s="395"/>
      <c r="N136" s="396"/>
      <c r="O136" s="396"/>
      <c r="P136" s="562"/>
      <c r="Q136" s="361">
        <f t="shared" si="20"/>
        <v>0</v>
      </c>
    </row>
    <row r="137" spans="1:17" s="750" customFormat="1" ht="15" customHeight="1" hidden="1">
      <c r="A137" s="2058"/>
      <c r="B137" s="2065"/>
      <c r="C137" s="2029"/>
      <c r="D137" s="409" t="s">
        <v>828</v>
      </c>
      <c r="E137" s="428"/>
      <c r="F137" s="376"/>
      <c r="G137" s="396"/>
      <c r="H137" s="396"/>
      <c r="I137" s="376"/>
      <c r="J137" s="376"/>
      <c r="K137" s="396"/>
      <c r="L137" s="396"/>
      <c r="M137" s="396"/>
      <c r="N137" s="396"/>
      <c r="O137" s="396"/>
      <c r="P137" s="562"/>
      <c r="Q137" s="361">
        <f t="shared" si="20"/>
        <v>0</v>
      </c>
    </row>
    <row r="138" spans="1:17" s="750" customFormat="1" ht="15" customHeight="1" hidden="1">
      <c r="A138" s="2058"/>
      <c r="B138" s="2065"/>
      <c r="C138" s="2029"/>
      <c r="D138" s="409" t="s">
        <v>833</v>
      </c>
      <c r="E138" s="429"/>
      <c r="F138" s="376"/>
      <c r="G138" s="396"/>
      <c r="H138" s="396"/>
      <c r="I138" s="376"/>
      <c r="J138" s="376"/>
      <c r="K138" s="396"/>
      <c r="L138" s="396"/>
      <c r="M138" s="396"/>
      <c r="N138" s="396"/>
      <c r="O138" s="396"/>
      <c r="P138" s="562"/>
      <c r="Q138" s="361">
        <f t="shared" si="20"/>
        <v>0</v>
      </c>
    </row>
    <row r="139" spans="1:17" s="750" customFormat="1" ht="15" customHeight="1">
      <c r="A139" s="2058"/>
      <c r="B139" s="2065"/>
      <c r="C139" s="2029"/>
      <c r="D139" s="409" t="s">
        <v>836</v>
      </c>
      <c r="E139" s="429"/>
      <c r="F139" s="376"/>
      <c r="G139" s="396">
        <v>-40</v>
      </c>
      <c r="H139" s="396"/>
      <c r="I139" s="376"/>
      <c r="J139" s="376"/>
      <c r="K139" s="396"/>
      <c r="L139" s="396"/>
      <c r="M139" s="395"/>
      <c r="N139" s="396"/>
      <c r="O139" s="396"/>
      <c r="P139" s="562"/>
      <c r="Q139" s="361">
        <f t="shared" si="20"/>
        <v>-40</v>
      </c>
    </row>
    <row r="140" spans="1:17" s="750" customFormat="1" ht="15" customHeight="1">
      <c r="A140" s="2058"/>
      <c r="B140" s="2065"/>
      <c r="C140" s="2029"/>
      <c r="D140" s="409" t="s">
        <v>1146</v>
      </c>
      <c r="E140" s="429"/>
      <c r="F140" s="376"/>
      <c r="G140" s="396">
        <v>240</v>
      </c>
      <c r="H140" s="396"/>
      <c r="I140" s="376"/>
      <c r="J140" s="376"/>
      <c r="K140" s="396"/>
      <c r="L140" s="396"/>
      <c r="M140" s="395"/>
      <c r="N140" s="396"/>
      <c r="O140" s="396"/>
      <c r="P140" s="562"/>
      <c r="Q140" s="361">
        <f t="shared" si="20"/>
        <v>240</v>
      </c>
    </row>
    <row r="141" spans="1:17" s="750" customFormat="1" ht="15" customHeight="1">
      <c r="A141" s="2058"/>
      <c r="B141" s="2065"/>
      <c r="C141" s="2029"/>
      <c r="D141" s="409" t="s">
        <v>455</v>
      </c>
      <c r="E141" s="427"/>
      <c r="F141" s="376"/>
      <c r="G141" s="396"/>
      <c r="H141" s="376"/>
      <c r="I141" s="376"/>
      <c r="J141" s="375"/>
      <c r="K141" s="375">
        <v>-1000</v>
      </c>
      <c r="L141" s="375">
        <v>-180</v>
      </c>
      <c r="M141" s="375">
        <v>-120</v>
      </c>
      <c r="N141" s="396"/>
      <c r="O141" s="396">
        <v>-5280</v>
      </c>
      <c r="P141" s="562">
        <v>-25400</v>
      </c>
      <c r="Q141" s="361">
        <f>SUM(E141:P141)</f>
        <v>-31980</v>
      </c>
    </row>
    <row r="142" spans="1:18" s="751" customFormat="1" ht="15" customHeight="1" thickBot="1">
      <c r="A142" s="2059"/>
      <c r="B142" s="2066"/>
      <c r="C142" s="2031"/>
      <c r="D142" s="423" t="s">
        <v>446</v>
      </c>
      <c r="E142" s="430">
        <f>SUM(E123:E141)</f>
        <v>18647</v>
      </c>
      <c r="F142" s="430">
        <f>SUM(F123:F141)</f>
        <v>76019</v>
      </c>
      <c r="G142" s="430">
        <f>SUM(G123:G141)</f>
        <v>41098</v>
      </c>
      <c r="H142" s="430">
        <f aca="true" t="shared" si="21" ref="H142:P142">SUM(H123:H141)</f>
        <v>38660</v>
      </c>
      <c r="I142" s="430">
        <f t="shared" si="21"/>
        <v>15034</v>
      </c>
      <c r="J142" s="430">
        <f t="shared" si="21"/>
        <v>49621</v>
      </c>
      <c r="K142" s="430">
        <f t="shared" si="21"/>
        <v>51172</v>
      </c>
      <c r="L142" s="430">
        <f t="shared" si="21"/>
        <v>65818</v>
      </c>
      <c r="M142" s="430">
        <f t="shared" si="21"/>
        <v>30685</v>
      </c>
      <c r="N142" s="430">
        <f t="shared" si="21"/>
        <v>23580</v>
      </c>
      <c r="O142" s="430">
        <f t="shared" si="21"/>
        <v>24286</v>
      </c>
      <c r="P142" s="430">
        <f t="shared" si="21"/>
        <v>-46144</v>
      </c>
      <c r="Q142" s="431">
        <f>SUM(Q123:Q141)</f>
        <v>388476</v>
      </c>
      <c r="R142" s="753">
        <f>Q118+Q122+Q142</f>
        <v>0</v>
      </c>
    </row>
    <row r="143" spans="1:17" s="752" customFormat="1" ht="4.5" customHeight="1" thickBot="1">
      <c r="A143" s="1162"/>
      <c r="B143" s="1165"/>
      <c r="C143" s="1163"/>
      <c r="D143" s="432"/>
      <c r="E143" s="385"/>
      <c r="F143" s="383"/>
      <c r="G143" s="383"/>
      <c r="H143" s="383"/>
      <c r="I143" s="383"/>
      <c r="J143" s="383"/>
      <c r="K143" s="558"/>
      <c r="L143" s="564"/>
      <c r="M143" s="385"/>
      <c r="N143" s="383"/>
      <c r="O143" s="383"/>
      <c r="P143" s="558"/>
      <c r="Q143" s="386"/>
    </row>
    <row r="144" spans="1:17" s="750" customFormat="1" ht="15" customHeight="1">
      <c r="A144" s="2057">
        <v>7</v>
      </c>
      <c r="B144" s="2035" t="s">
        <v>650</v>
      </c>
      <c r="C144" s="2028" t="s">
        <v>435</v>
      </c>
      <c r="D144" s="415" t="s">
        <v>436</v>
      </c>
      <c r="E144" s="389">
        <v>-11572</v>
      </c>
      <c r="F144" s="388">
        <v>-10760</v>
      </c>
      <c r="G144" s="388">
        <v>-32250</v>
      </c>
      <c r="H144" s="388">
        <v>-1629</v>
      </c>
      <c r="I144" s="388">
        <v>-4900</v>
      </c>
      <c r="J144" s="388">
        <v>-35965</v>
      </c>
      <c r="K144" s="388">
        <v>-49241</v>
      </c>
      <c r="L144" s="388">
        <v>-45041</v>
      </c>
      <c r="M144" s="388">
        <v>-23316</v>
      </c>
      <c r="N144" s="388">
        <v>-12554</v>
      </c>
      <c r="O144" s="388">
        <v>-14804</v>
      </c>
      <c r="P144" s="560">
        <v>-15954</v>
      </c>
      <c r="Q144" s="390">
        <f>SUM(E144:P144)</f>
        <v>-257986</v>
      </c>
    </row>
    <row r="145" spans="1:17" s="750" customFormat="1" ht="15" customHeight="1">
      <c r="A145" s="2058"/>
      <c r="B145" s="2036"/>
      <c r="C145" s="2029"/>
      <c r="D145" s="426" t="s">
        <v>825</v>
      </c>
      <c r="E145" s="367">
        <v>-14552</v>
      </c>
      <c r="F145" s="358">
        <v>-23414</v>
      </c>
      <c r="G145" s="358">
        <v>-14194</v>
      </c>
      <c r="H145" s="358">
        <v>-15984</v>
      </c>
      <c r="I145" s="358">
        <v>-29815</v>
      </c>
      <c r="J145" s="358">
        <v>-12977</v>
      </c>
      <c r="K145" s="358">
        <v>-12185</v>
      </c>
      <c r="L145" s="358">
        <v>-3366</v>
      </c>
      <c r="M145" s="358">
        <v>-15475</v>
      </c>
      <c r="N145" s="358">
        <v>-28016</v>
      </c>
      <c r="O145" s="358">
        <v>-9617</v>
      </c>
      <c r="P145" s="554">
        <v>-7316</v>
      </c>
      <c r="Q145" s="361">
        <f>SUM(E145:P145)</f>
        <v>-186911</v>
      </c>
    </row>
    <row r="146" spans="1:17" s="750" customFormat="1" ht="15" customHeight="1">
      <c r="A146" s="2058"/>
      <c r="B146" s="2036"/>
      <c r="C146" s="2029"/>
      <c r="D146" s="426" t="s">
        <v>437</v>
      </c>
      <c r="E146" s="367">
        <v>-18663</v>
      </c>
      <c r="F146" s="358">
        <v>-14022</v>
      </c>
      <c r="G146" s="358">
        <v>-13300</v>
      </c>
      <c r="H146" s="358">
        <v>-33003</v>
      </c>
      <c r="I146" s="358">
        <v>-11665</v>
      </c>
      <c r="J146" s="358">
        <v>-6780</v>
      </c>
      <c r="K146" s="358">
        <v>-3852</v>
      </c>
      <c r="L146" s="358">
        <v>-2829</v>
      </c>
      <c r="M146" s="358">
        <v>-18128</v>
      </c>
      <c r="N146" s="358">
        <v>-21737</v>
      </c>
      <c r="O146" s="358">
        <v>-10444</v>
      </c>
      <c r="P146" s="554">
        <v>-20010</v>
      </c>
      <c r="Q146" s="361">
        <f>SUM(E146:P146)</f>
        <v>-174433</v>
      </c>
    </row>
    <row r="147" spans="1:17" s="750" customFormat="1" ht="15" customHeight="1">
      <c r="A147" s="2058"/>
      <c r="B147" s="2036"/>
      <c r="C147" s="2029"/>
      <c r="D147" s="410" t="s">
        <v>438</v>
      </c>
      <c r="E147" s="369">
        <f>SUM(E144:E146)</f>
        <v>-44787</v>
      </c>
      <c r="F147" s="365">
        <f aca="true" t="shared" si="22" ref="F147:P147">SUM(F144:F146)</f>
        <v>-48196</v>
      </c>
      <c r="G147" s="365">
        <f t="shared" si="22"/>
        <v>-59744</v>
      </c>
      <c r="H147" s="365">
        <f t="shared" si="22"/>
        <v>-50616</v>
      </c>
      <c r="I147" s="365">
        <f t="shared" si="22"/>
        <v>-46380</v>
      </c>
      <c r="J147" s="365">
        <f t="shared" si="22"/>
        <v>-55722</v>
      </c>
      <c r="K147" s="365">
        <f t="shared" si="22"/>
        <v>-65278</v>
      </c>
      <c r="L147" s="365">
        <f t="shared" si="22"/>
        <v>-51236</v>
      </c>
      <c r="M147" s="365">
        <f t="shared" si="22"/>
        <v>-56919</v>
      </c>
      <c r="N147" s="365">
        <f t="shared" si="22"/>
        <v>-62307</v>
      </c>
      <c r="O147" s="365">
        <f t="shared" si="22"/>
        <v>-34865</v>
      </c>
      <c r="P147" s="561">
        <f t="shared" si="22"/>
        <v>-43280</v>
      </c>
      <c r="Q147" s="366">
        <f>SUM(Q144:Q146)</f>
        <v>-619330</v>
      </c>
    </row>
    <row r="148" spans="1:17" s="750" customFormat="1" ht="15" customHeight="1">
      <c r="A148" s="2058"/>
      <c r="B148" s="2036"/>
      <c r="C148" s="2029"/>
      <c r="D148" s="426" t="s">
        <v>439</v>
      </c>
      <c r="E148" s="367">
        <v>30161</v>
      </c>
      <c r="F148" s="358">
        <v>24108</v>
      </c>
      <c r="G148" s="358">
        <v>20957</v>
      </c>
      <c r="H148" s="358">
        <v>44794</v>
      </c>
      <c r="I148" s="358">
        <v>32489</v>
      </c>
      <c r="J148" s="358">
        <v>13005</v>
      </c>
      <c r="K148" s="362">
        <v>6513</v>
      </c>
      <c r="L148" s="358">
        <v>1510</v>
      </c>
      <c r="M148" s="358">
        <v>27460</v>
      </c>
      <c r="N148" s="358">
        <v>36435</v>
      </c>
      <c r="O148" s="358">
        <v>15447</v>
      </c>
      <c r="P148" s="554">
        <v>22613</v>
      </c>
      <c r="Q148" s="361">
        <f>SUM(E148:P148)</f>
        <v>275492</v>
      </c>
    </row>
    <row r="149" spans="1:17" s="750" customFormat="1" ht="15" customHeight="1">
      <c r="A149" s="2058"/>
      <c r="B149" s="2036"/>
      <c r="C149" s="2029"/>
      <c r="D149" s="426" t="s">
        <v>826</v>
      </c>
      <c r="E149" s="367">
        <v>3001</v>
      </c>
      <c r="F149" s="358">
        <v>5671</v>
      </c>
      <c r="G149" s="358">
        <v>10824</v>
      </c>
      <c r="H149" s="358">
        <v>1484</v>
      </c>
      <c r="I149" s="358">
        <v>2603</v>
      </c>
      <c r="J149" s="358">
        <v>10041</v>
      </c>
      <c r="K149" s="362">
        <v>18085</v>
      </c>
      <c r="L149" s="358">
        <v>16086</v>
      </c>
      <c r="M149" s="358">
        <v>10181</v>
      </c>
      <c r="N149" s="358">
        <v>1287</v>
      </c>
      <c r="O149" s="358">
        <v>6903</v>
      </c>
      <c r="P149" s="554">
        <v>18102</v>
      </c>
      <c r="Q149" s="361">
        <f>SUM(E149:P149)</f>
        <v>104268</v>
      </c>
    </row>
    <row r="150" spans="1:17" s="750" customFormat="1" ht="15" customHeight="1">
      <c r="A150" s="2058"/>
      <c r="B150" s="2036"/>
      <c r="C150" s="2029"/>
      <c r="D150" s="426" t="s">
        <v>440</v>
      </c>
      <c r="E150" s="367">
        <v>9345</v>
      </c>
      <c r="F150" s="358">
        <v>7771</v>
      </c>
      <c r="G150" s="358">
        <v>23863</v>
      </c>
      <c r="H150" s="358">
        <v>4490</v>
      </c>
      <c r="I150" s="358">
        <v>10736</v>
      </c>
      <c r="J150" s="358">
        <v>29346</v>
      </c>
      <c r="K150" s="362">
        <v>33783</v>
      </c>
      <c r="L150" s="358">
        <v>30420</v>
      </c>
      <c r="M150" s="358">
        <v>17148</v>
      </c>
      <c r="N150" s="358">
        <v>10089</v>
      </c>
      <c r="O150" s="358">
        <v>9065</v>
      </c>
      <c r="P150" s="554">
        <v>10965</v>
      </c>
      <c r="Q150" s="361">
        <f>SUM(E150:P150)</f>
        <v>197021</v>
      </c>
    </row>
    <row r="151" spans="1:17" s="750" customFormat="1" ht="15" customHeight="1">
      <c r="A151" s="2058"/>
      <c r="B151" s="2036"/>
      <c r="C151" s="2030"/>
      <c r="D151" s="410" t="s">
        <v>441</v>
      </c>
      <c r="E151" s="369">
        <f>SUM(E148:E150)</f>
        <v>42507</v>
      </c>
      <c r="F151" s="365">
        <f aca="true" t="shared" si="23" ref="F151:P151">SUM(F148:F150)</f>
        <v>37550</v>
      </c>
      <c r="G151" s="365">
        <f t="shared" si="23"/>
        <v>55644</v>
      </c>
      <c r="H151" s="365">
        <f t="shared" si="23"/>
        <v>50768</v>
      </c>
      <c r="I151" s="365">
        <f t="shared" si="23"/>
        <v>45828</v>
      </c>
      <c r="J151" s="365">
        <f t="shared" si="23"/>
        <v>52392</v>
      </c>
      <c r="K151" s="365">
        <f t="shared" si="23"/>
        <v>58381</v>
      </c>
      <c r="L151" s="365">
        <f t="shared" si="23"/>
        <v>48016</v>
      </c>
      <c r="M151" s="365">
        <f t="shared" si="23"/>
        <v>54789</v>
      </c>
      <c r="N151" s="365">
        <f t="shared" si="23"/>
        <v>47811</v>
      </c>
      <c r="O151" s="365">
        <f t="shared" si="23"/>
        <v>31415</v>
      </c>
      <c r="P151" s="561">
        <f t="shared" si="23"/>
        <v>51680</v>
      </c>
      <c r="Q151" s="366">
        <f>SUM(Q148:Q150)</f>
        <v>576781</v>
      </c>
    </row>
    <row r="152" spans="1:17" s="750" customFormat="1" ht="15" customHeight="1" hidden="1">
      <c r="A152" s="2058"/>
      <c r="B152" s="2036"/>
      <c r="C152" s="2029" t="s">
        <v>444</v>
      </c>
      <c r="D152" s="409" t="s">
        <v>543</v>
      </c>
      <c r="E152" s="433"/>
      <c r="F152" s="394"/>
      <c r="G152" s="394"/>
      <c r="H152" s="394"/>
      <c r="I152" s="396"/>
      <c r="J152" s="396"/>
      <c r="K152" s="396"/>
      <c r="L152" s="375"/>
      <c r="M152" s="394"/>
      <c r="N152" s="396"/>
      <c r="O152" s="396"/>
      <c r="P152" s="562"/>
      <c r="Q152" s="361">
        <f aca="true" t="shared" si="24" ref="Q152:Q163">SUM(E152:P152)</f>
        <v>0</v>
      </c>
    </row>
    <row r="153" spans="1:17" s="750" customFormat="1" ht="15" customHeight="1" hidden="1">
      <c r="A153" s="2058"/>
      <c r="B153" s="2036"/>
      <c r="C153" s="2029"/>
      <c r="D153" s="409" t="s">
        <v>544</v>
      </c>
      <c r="E153" s="433"/>
      <c r="F153" s="394"/>
      <c r="G153" s="394"/>
      <c r="H153" s="394"/>
      <c r="I153" s="396"/>
      <c r="J153" s="396"/>
      <c r="K153" s="396"/>
      <c r="L153" s="375"/>
      <c r="M153" s="394"/>
      <c r="N153" s="396"/>
      <c r="O153" s="396"/>
      <c r="P153" s="562"/>
      <c r="Q153" s="361">
        <f t="shared" si="24"/>
        <v>0</v>
      </c>
    </row>
    <row r="154" spans="1:17" s="750" customFormat="1" ht="15" customHeight="1">
      <c r="A154" s="2058"/>
      <c r="B154" s="2036"/>
      <c r="C154" s="2029"/>
      <c r="D154" s="409" t="s">
        <v>651</v>
      </c>
      <c r="E154" s="419">
        <v>420</v>
      </c>
      <c r="F154" s="375"/>
      <c r="G154" s="375"/>
      <c r="H154" s="394"/>
      <c r="I154" s="396"/>
      <c r="J154" s="376"/>
      <c r="K154" s="375"/>
      <c r="L154" s="376"/>
      <c r="M154" s="375"/>
      <c r="N154" s="396"/>
      <c r="O154" s="396"/>
      <c r="P154" s="562"/>
      <c r="Q154" s="361">
        <f t="shared" si="24"/>
        <v>420</v>
      </c>
    </row>
    <row r="155" spans="1:17" s="750" customFormat="1" ht="15" customHeight="1">
      <c r="A155" s="2058"/>
      <c r="B155" s="2036"/>
      <c r="C155" s="2029"/>
      <c r="D155" s="409" t="s">
        <v>531</v>
      </c>
      <c r="E155" s="419"/>
      <c r="F155" s="419">
        <v>2670</v>
      </c>
      <c r="G155" s="419"/>
      <c r="H155" s="419">
        <v>1281</v>
      </c>
      <c r="I155" s="419">
        <v>552</v>
      </c>
      <c r="J155" s="419">
        <v>2808</v>
      </c>
      <c r="K155" s="419"/>
      <c r="L155" s="428"/>
      <c r="M155" s="394"/>
      <c r="N155" s="394"/>
      <c r="O155" s="394"/>
      <c r="P155" s="567"/>
      <c r="Q155" s="361">
        <f t="shared" si="24"/>
        <v>7311</v>
      </c>
    </row>
    <row r="156" spans="1:17" s="750" customFormat="1" ht="15" customHeight="1">
      <c r="A156" s="2058"/>
      <c r="B156" s="2036"/>
      <c r="C156" s="2029"/>
      <c r="D156" s="409" t="s">
        <v>734</v>
      </c>
      <c r="E156" s="419"/>
      <c r="F156" s="419"/>
      <c r="G156" s="419"/>
      <c r="H156" s="419"/>
      <c r="I156" s="419"/>
      <c r="J156" s="419">
        <v>522</v>
      </c>
      <c r="K156" s="419"/>
      <c r="L156" s="428"/>
      <c r="M156" s="394"/>
      <c r="N156" s="394"/>
      <c r="O156" s="394"/>
      <c r="P156" s="567"/>
      <c r="Q156" s="361">
        <f t="shared" si="24"/>
        <v>522</v>
      </c>
    </row>
    <row r="157" spans="1:17" s="750" customFormat="1" ht="15" customHeight="1">
      <c r="A157" s="2058"/>
      <c r="B157" s="2036"/>
      <c r="C157" s="2029"/>
      <c r="D157" s="409" t="s">
        <v>829</v>
      </c>
      <c r="E157" s="419"/>
      <c r="F157" s="419"/>
      <c r="G157" s="419"/>
      <c r="H157" s="419">
        <v>-783</v>
      </c>
      <c r="I157" s="419"/>
      <c r="J157" s="419"/>
      <c r="K157" s="419"/>
      <c r="L157" s="428"/>
      <c r="M157" s="394"/>
      <c r="N157" s="394"/>
      <c r="O157" s="394"/>
      <c r="P157" s="567"/>
      <c r="Q157" s="361">
        <f t="shared" si="24"/>
        <v>-783</v>
      </c>
    </row>
    <row r="158" spans="1:17" s="750" customFormat="1" ht="15" customHeight="1">
      <c r="A158" s="2058"/>
      <c r="B158" s="2036"/>
      <c r="C158" s="2029"/>
      <c r="D158" s="409" t="s">
        <v>455</v>
      </c>
      <c r="E158" s="419"/>
      <c r="F158" s="419"/>
      <c r="G158" s="419"/>
      <c r="H158" s="419">
        <v>-2700</v>
      </c>
      <c r="I158" s="419"/>
      <c r="J158" s="419"/>
      <c r="K158" s="419">
        <v>-2000</v>
      </c>
      <c r="L158" s="428"/>
      <c r="M158" s="394"/>
      <c r="N158" s="394"/>
      <c r="O158" s="394"/>
      <c r="P158" s="567">
        <v>-8400</v>
      </c>
      <c r="Q158" s="361">
        <f t="shared" si="24"/>
        <v>-13100</v>
      </c>
    </row>
    <row r="159" spans="1:17" s="750" customFormat="1" ht="15" customHeight="1">
      <c r="A159" s="2058"/>
      <c r="B159" s="2036"/>
      <c r="C159" s="2029"/>
      <c r="D159" s="409" t="s">
        <v>445</v>
      </c>
      <c r="E159" s="419">
        <v>1860</v>
      </c>
      <c r="F159" s="419">
        <v>7976</v>
      </c>
      <c r="G159" s="419">
        <v>4100</v>
      </c>
      <c r="H159" s="419">
        <v>2050</v>
      </c>
      <c r="I159" s="419"/>
      <c r="J159" s="419"/>
      <c r="K159" s="419">
        <v>3036</v>
      </c>
      <c r="L159" s="372">
        <v>72</v>
      </c>
      <c r="M159" s="394">
        <v>2130</v>
      </c>
      <c r="N159" s="394">
        <v>768</v>
      </c>
      <c r="O159" s="394">
        <v>3619</v>
      </c>
      <c r="P159" s="567"/>
      <c r="Q159" s="361">
        <f t="shared" si="24"/>
        <v>25611</v>
      </c>
    </row>
    <row r="160" spans="1:17" s="750" customFormat="1" ht="15" customHeight="1">
      <c r="A160" s="2058"/>
      <c r="B160" s="2036"/>
      <c r="C160" s="2029"/>
      <c r="D160" s="409" t="s">
        <v>531</v>
      </c>
      <c r="E160" s="419"/>
      <c r="F160" s="419"/>
      <c r="G160" s="419"/>
      <c r="H160" s="419"/>
      <c r="I160" s="428"/>
      <c r="J160" s="419"/>
      <c r="K160" s="419">
        <v>576</v>
      </c>
      <c r="L160" s="428"/>
      <c r="M160" s="396"/>
      <c r="N160" s="396"/>
      <c r="O160" s="396"/>
      <c r="P160" s="562"/>
      <c r="Q160" s="361">
        <f t="shared" si="24"/>
        <v>576</v>
      </c>
    </row>
    <row r="161" spans="1:17" s="750" customFormat="1" ht="15" customHeight="1">
      <c r="A161" s="2058"/>
      <c r="B161" s="2036"/>
      <c r="C161" s="2029"/>
      <c r="D161" s="409" t="s">
        <v>1189</v>
      </c>
      <c r="E161" s="419"/>
      <c r="F161" s="419"/>
      <c r="G161" s="419"/>
      <c r="H161" s="419"/>
      <c r="I161" s="372"/>
      <c r="J161" s="419"/>
      <c r="K161" s="433">
        <v>4560</v>
      </c>
      <c r="L161" s="433">
        <v>1950</v>
      </c>
      <c r="M161" s="396"/>
      <c r="N161" s="396">
        <v>8448</v>
      </c>
      <c r="O161" s="396"/>
      <c r="P161" s="562"/>
      <c r="Q161" s="361">
        <f t="shared" si="24"/>
        <v>14958</v>
      </c>
    </row>
    <row r="162" spans="1:17" s="750" customFormat="1" ht="15" customHeight="1">
      <c r="A162" s="2058"/>
      <c r="B162" s="2036"/>
      <c r="C162" s="2029"/>
      <c r="D162" s="409" t="s">
        <v>829</v>
      </c>
      <c r="E162" s="419"/>
      <c r="F162" s="419"/>
      <c r="G162" s="419"/>
      <c r="H162" s="419"/>
      <c r="I162" s="372"/>
      <c r="J162" s="419"/>
      <c r="K162" s="433"/>
      <c r="L162" s="433">
        <v>-2</v>
      </c>
      <c r="M162" s="396"/>
      <c r="N162" s="396"/>
      <c r="O162" s="396">
        <v>-169</v>
      </c>
      <c r="P162" s="562"/>
      <c r="Q162" s="361">
        <f t="shared" si="24"/>
        <v>-171</v>
      </c>
    </row>
    <row r="163" spans="1:17" s="750" customFormat="1" ht="15" customHeight="1">
      <c r="A163" s="2058"/>
      <c r="B163" s="2036"/>
      <c r="C163" s="2029"/>
      <c r="D163" s="409" t="s">
        <v>734</v>
      </c>
      <c r="E163" s="419"/>
      <c r="F163" s="419"/>
      <c r="G163" s="419"/>
      <c r="H163" s="419"/>
      <c r="I163" s="372"/>
      <c r="J163" s="419"/>
      <c r="K163" s="433">
        <v>245</v>
      </c>
      <c r="L163" s="433">
        <v>480</v>
      </c>
      <c r="M163" s="396"/>
      <c r="N163" s="396">
        <v>5280</v>
      </c>
      <c r="O163" s="396"/>
      <c r="P163" s="562"/>
      <c r="Q163" s="361">
        <f t="shared" si="24"/>
        <v>6005</v>
      </c>
    </row>
    <row r="164" spans="1:17" s="750" customFormat="1" ht="15" customHeight="1">
      <c r="A164" s="2058"/>
      <c r="B164" s="2036"/>
      <c r="C164" s="2029"/>
      <c r="D164" s="409" t="s">
        <v>448</v>
      </c>
      <c r="E164" s="419"/>
      <c r="F164" s="375"/>
      <c r="G164" s="375"/>
      <c r="H164" s="419"/>
      <c r="I164" s="372"/>
      <c r="J164" s="375"/>
      <c r="K164" s="394">
        <v>480</v>
      </c>
      <c r="L164" s="394">
        <v>720</v>
      </c>
      <c r="M164" s="394"/>
      <c r="N164" s="394"/>
      <c r="O164" s="394"/>
      <c r="P164" s="394"/>
      <c r="Q164" s="361">
        <f>SUM(E164:P164)</f>
        <v>1200</v>
      </c>
    </row>
    <row r="165" spans="1:18" s="751" customFormat="1" ht="15" customHeight="1" thickBot="1">
      <c r="A165" s="2059"/>
      <c r="B165" s="2038"/>
      <c r="C165" s="2031"/>
      <c r="D165" s="423" t="s">
        <v>446</v>
      </c>
      <c r="E165" s="430">
        <f>SUM(E152:E164)</f>
        <v>2280</v>
      </c>
      <c r="F165" s="413">
        <f>SUM(F152:F164)</f>
        <v>10646</v>
      </c>
      <c r="G165" s="413">
        <f>SUM(G152:G164)</f>
        <v>4100</v>
      </c>
      <c r="H165" s="413">
        <f aca="true" t="shared" si="25" ref="H165:P165">SUM(H152:H164)</f>
        <v>-152</v>
      </c>
      <c r="I165" s="413">
        <f t="shared" si="25"/>
        <v>552</v>
      </c>
      <c r="J165" s="413">
        <f t="shared" si="25"/>
        <v>3330</v>
      </c>
      <c r="K165" s="413">
        <f t="shared" si="25"/>
        <v>6897</v>
      </c>
      <c r="L165" s="413">
        <f t="shared" si="25"/>
        <v>3220</v>
      </c>
      <c r="M165" s="413">
        <f t="shared" si="25"/>
        <v>2130</v>
      </c>
      <c r="N165" s="413">
        <f t="shared" si="25"/>
        <v>14496</v>
      </c>
      <c r="O165" s="413">
        <f t="shared" si="25"/>
        <v>3450</v>
      </c>
      <c r="P165" s="413">
        <f t="shared" si="25"/>
        <v>-8400</v>
      </c>
      <c r="Q165" s="431">
        <f>SUM(Q152:Q164)</f>
        <v>42549</v>
      </c>
      <c r="R165" s="753">
        <f>Q147+Q151+Q165</f>
        <v>0</v>
      </c>
    </row>
    <row r="166" spans="1:17" s="752" customFormat="1" ht="4.5" customHeight="1" thickBot="1">
      <c r="A166" s="1162"/>
      <c r="B166" s="1165"/>
      <c r="C166" s="1163"/>
      <c r="D166" s="432"/>
      <c r="E166" s="385"/>
      <c r="F166" s="383"/>
      <c r="G166" s="383"/>
      <c r="H166" s="383"/>
      <c r="I166" s="383"/>
      <c r="J166" s="383"/>
      <c r="K166" s="383"/>
      <c r="L166" s="383"/>
      <c r="M166" s="383"/>
      <c r="N166" s="383"/>
      <c r="O166" s="383"/>
      <c r="P166" s="558"/>
      <c r="Q166" s="386"/>
    </row>
    <row r="167" spans="1:17" s="750" customFormat="1" ht="15" customHeight="1" hidden="1">
      <c r="A167" s="2057">
        <v>8</v>
      </c>
      <c r="B167" s="2061" t="s">
        <v>652</v>
      </c>
      <c r="C167" s="2028" t="s">
        <v>435</v>
      </c>
      <c r="D167" s="415" t="s">
        <v>436</v>
      </c>
      <c r="E167" s="389"/>
      <c r="F167" s="389"/>
      <c r="G167" s="389"/>
      <c r="H167" s="389"/>
      <c r="I167" s="570"/>
      <c r="J167" s="388"/>
      <c r="K167" s="570"/>
      <c r="L167" s="570"/>
      <c r="M167" s="388"/>
      <c r="N167" s="388"/>
      <c r="O167" s="388"/>
      <c r="P167" s="560"/>
      <c r="Q167" s="390">
        <f>SUM(E167:P167)</f>
        <v>0</v>
      </c>
    </row>
    <row r="168" spans="1:17" s="750" customFormat="1" ht="15" customHeight="1" hidden="1">
      <c r="A168" s="2058"/>
      <c r="B168" s="2062"/>
      <c r="C168" s="2029"/>
      <c r="D168" s="426" t="s">
        <v>825</v>
      </c>
      <c r="E168" s="367"/>
      <c r="F168" s="367"/>
      <c r="G168" s="367"/>
      <c r="H168" s="367"/>
      <c r="I168" s="434"/>
      <c r="J168" s="358"/>
      <c r="K168" s="434"/>
      <c r="L168" s="434"/>
      <c r="M168" s="358"/>
      <c r="N168" s="358"/>
      <c r="O168" s="358"/>
      <c r="P168" s="554"/>
      <c r="Q168" s="361">
        <f>SUM(E168:P168)</f>
        <v>0</v>
      </c>
    </row>
    <row r="169" spans="1:17" s="750" customFormat="1" ht="15" customHeight="1" hidden="1">
      <c r="A169" s="2058"/>
      <c r="B169" s="2062"/>
      <c r="C169" s="2029"/>
      <c r="D169" s="426" t="s">
        <v>437</v>
      </c>
      <c r="E169" s="367"/>
      <c r="F169" s="367"/>
      <c r="G169" s="367"/>
      <c r="H169" s="367"/>
      <c r="I169" s="434"/>
      <c r="J169" s="358"/>
      <c r="K169" s="434"/>
      <c r="L169" s="434"/>
      <c r="M169" s="358"/>
      <c r="N169" s="358"/>
      <c r="O169" s="358"/>
      <c r="P169" s="554"/>
      <c r="Q169" s="361">
        <f>SUM(E169:P169)</f>
        <v>0</v>
      </c>
    </row>
    <row r="170" spans="1:17" s="750" customFormat="1" ht="15" customHeight="1" hidden="1">
      <c r="A170" s="2058"/>
      <c r="B170" s="2062"/>
      <c r="C170" s="2029"/>
      <c r="D170" s="410" t="s">
        <v>438</v>
      </c>
      <c r="E170" s="369">
        <f aca="true" t="shared" si="26" ref="E170:M170">SUM(E167:E169)</f>
        <v>0</v>
      </c>
      <c r="F170" s="369">
        <f t="shared" si="26"/>
        <v>0</v>
      </c>
      <c r="G170" s="369">
        <f t="shared" si="26"/>
        <v>0</v>
      </c>
      <c r="H170" s="369">
        <f t="shared" si="26"/>
        <v>0</v>
      </c>
      <c r="I170" s="365">
        <f t="shared" si="26"/>
        <v>0</v>
      </c>
      <c r="J170" s="368">
        <f t="shared" si="26"/>
        <v>0</v>
      </c>
      <c r="K170" s="365">
        <f t="shared" si="26"/>
        <v>0</v>
      </c>
      <c r="L170" s="365">
        <f t="shared" si="26"/>
        <v>0</v>
      </c>
      <c r="M170" s="368">
        <f t="shared" si="26"/>
        <v>0</v>
      </c>
      <c r="N170" s="365">
        <f>SUM(N167:N169)</f>
        <v>0</v>
      </c>
      <c r="O170" s="365">
        <f>SUM(O167:O169)</f>
        <v>0</v>
      </c>
      <c r="P170" s="561">
        <f>SUM(P167:P169)</f>
        <v>0</v>
      </c>
      <c r="Q170" s="366">
        <f>SUM(Q167:Q169)</f>
        <v>0</v>
      </c>
    </row>
    <row r="171" spans="1:17" s="750" customFormat="1" ht="15" customHeight="1" hidden="1">
      <c r="A171" s="2058"/>
      <c r="B171" s="2062"/>
      <c r="C171" s="2029"/>
      <c r="D171" s="426" t="s">
        <v>439</v>
      </c>
      <c r="E171" s="419"/>
      <c r="F171" s="375"/>
      <c r="G171" s="375"/>
      <c r="H171" s="434"/>
      <c r="I171" s="434"/>
      <c r="J171" s="358"/>
      <c r="K171" s="434"/>
      <c r="L171" s="434"/>
      <c r="M171" s="358"/>
      <c r="N171" s="358"/>
      <c r="O171" s="358"/>
      <c r="P171" s="554"/>
      <c r="Q171" s="361">
        <f>SUM(E171:P171)</f>
        <v>0</v>
      </c>
    </row>
    <row r="172" spans="1:17" s="750" customFormat="1" ht="15" customHeight="1" hidden="1">
      <c r="A172" s="2058"/>
      <c r="B172" s="2062"/>
      <c r="C172" s="2029"/>
      <c r="D172" s="426" t="s">
        <v>826</v>
      </c>
      <c r="E172" s="367"/>
      <c r="F172" s="367"/>
      <c r="G172" s="367"/>
      <c r="H172" s="367"/>
      <c r="I172" s="434"/>
      <c r="J172" s="358"/>
      <c r="K172" s="434"/>
      <c r="L172" s="434"/>
      <c r="M172" s="358"/>
      <c r="N172" s="358"/>
      <c r="O172" s="358"/>
      <c r="P172" s="554"/>
      <c r="Q172" s="361">
        <f>SUM(E172:P172)</f>
        <v>0</v>
      </c>
    </row>
    <row r="173" spans="1:17" s="750" customFormat="1" ht="15" customHeight="1" hidden="1">
      <c r="A173" s="2058"/>
      <c r="B173" s="2062"/>
      <c r="C173" s="2029"/>
      <c r="D173" s="426" t="s">
        <v>440</v>
      </c>
      <c r="E173" s="367"/>
      <c r="F173" s="367"/>
      <c r="G173" s="367"/>
      <c r="H173" s="367"/>
      <c r="I173" s="434"/>
      <c r="J173" s="358"/>
      <c r="K173" s="434"/>
      <c r="L173" s="434"/>
      <c r="M173" s="358"/>
      <c r="N173" s="358"/>
      <c r="O173" s="358"/>
      <c r="P173" s="554"/>
      <c r="Q173" s="361">
        <f>SUM(E173:P173)</f>
        <v>0</v>
      </c>
    </row>
    <row r="174" spans="1:17" s="750" customFormat="1" ht="15" customHeight="1" hidden="1">
      <c r="A174" s="2058"/>
      <c r="B174" s="2062"/>
      <c r="C174" s="2029"/>
      <c r="D174" s="410" t="s">
        <v>441</v>
      </c>
      <c r="E174" s="369">
        <f aca="true" t="shared" si="27" ref="E174:P174">SUM(E171:E173)</f>
        <v>0</v>
      </c>
      <c r="F174" s="369">
        <f t="shared" si="27"/>
        <v>0</v>
      </c>
      <c r="G174" s="369">
        <f t="shared" si="27"/>
        <v>0</v>
      </c>
      <c r="H174" s="369">
        <f t="shared" si="27"/>
        <v>0</v>
      </c>
      <c r="I174" s="365">
        <f t="shared" si="27"/>
        <v>0</v>
      </c>
      <c r="J174" s="365">
        <f t="shared" si="27"/>
        <v>0</v>
      </c>
      <c r="K174" s="365">
        <f t="shared" si="27"/>
        <v>0</v>
      </c>
      <c r="L174" s="365">
        <f t="shared" si="27"/>
        <v>0</v>
      </c>
      <c r="M174" s="365">
        <f t="shared" si="27"/>
        <v>0</v>
      </c>
      <c r="N174" s="365">
        <f t="shared" si="27"/>
        <v>0</v>
      </c>
      <c r="O174" s="365">
        <f t="shared" si="27"/>
        <v>0</v>
      </c>
      <c r="P174" s="561">
        <f t="shared" si="27"/>
        <v>0</v>
      </c>
      <c r="Q174" s="366">
        <f>SUM(Q171:Q173)</f>
        <v>0</v>
      </c>
    </row>
    <row r="175" spans="1:17" s="750" customFormat="1" ht="15" customHeight="1" hidden="1">
      <c r="A175" s="2058"/>
      <c r="B175" s="2062"/>
      <c r="C175" s="2060" t="s">
        <v>444</v>
      </c>
      <c r="D175" s="409" t="s">
        <v>455</v>
      </c>
      <c r="E175" s="428"/>
      <c r="F175" s="375"/>
      <c r="G175" s="375"/>
      <c r="H175" s="434"/>
      <c r="I175" s="434"/>
      <c r="J175" s="371"/>
      <c r="K175" s="434"/>
      <c r="L175" s="434"/>
      <c r="M175" s="434"/>
      <c r="N175" s="371"/>
      <c r="O175" s="371"/>
      <c r="P175" s="556"/>
      <c r="Q175" s="361">
        <f>SUM(E175:P175)</f>
        <v>0</v>
      </c>
    </row>
    <row r="176" spans="1:17" s="750" customFormat="1" ht="15" customHeight="1" hidden="1">
      <c r="A176" s="2058"/>
      <c r="B176" s="2062"/>
      <c r="C176" s="2029"/>
      <c r="D176" s="409" t="s">
        <v>445</v>
      </c>
      <c r="E176" s="429"/>
      <c r="F176" s="395"/>
      <c r="G176" s="395"/>
      <c r="H176" s="434"/>
      <c r="I176" s="434"/>
      <c r="J176" s="396"/>
      <c r="K176" s="434"/>
      <c r="L176" s="434"/>
      <c r="M176" s="396"/>
      <c r="N176" s="396"/>
      <c r="O176" s="396"/>
      <c r="P176" s="562"/>
      <c r="Q176" s="361">
        <f>SUM(E176:P176)</f>
        <v>0</v>
      </c>
    </row>
    <row r="177" spans="1:17" s="750" customFormat="1" ht="15" customHeight="1" hidden="1">
      <c r="A177" s="2058"/>
      <c r="B177" s="2062"/>
      <c r="C177" s="2029"/>
      <c r="D177" s="409" t="s">
        <v>453</v>
      </c>
      <c r="E177" s="429"/>
      <c r="F177" s="395"/>
      <c r="G177" s="396"/>
      <c r="H177" s="434"/>
      <c r="I177" s="434"/>
      <c r="J177" s="396"/>
      <c r="K177" s="434"/>
      <c r="L177" s="434"/>
      <c r="M177" s="434"/>
      <c r="N177" s="396"/>
      <c r="O177" s="396"/>
      <c r="P177" s="562"/>
      <c r="Q177" s="361">
        <f>SUM(E177:P177)</f>
        <v>0</v>
      </c>
    </row>
    <row r="178" spans="1:17" s="750" customFormat="1" ht="15" customHeight="1" hidden="1">
      <c r="A178" s="2058"/>
      <c r="B178" s="2062"/>
      <c r="C178" s="2029"/>
      <c r="D178" s="409" t="s">
        <v>459</v>
      </c>
      <c r="E178" s="429"/>
      <c r="F178" s="429"/>
      <c r="G178" s="429"/>
      <c r="H178" s="429"/>
      <c r="I178" s="429"/>
      <c r="J178" s="429"/>
      <c r="K178" s="429"/>
      <c r="L178" s="429"/>
      <c r="M178" s="396"/>
      <c r="N178" s="396"/>
      <c r="O178" s="396"/>
      <c r="P178" s="562"/>
      <c r="Q178" s="361">
        <f>SUM(E178:P178)</f>
        <v>0</v>
      </c>
    </row>
    <row r="179" spans="1:17" s="750" customFormat="1" ht="15" customHeight="1" hidden="1">
      <c r="A179" s="2058"/>
      <c r="B179" s="2062"/>
      <c r="C179" s="2029"/>
      <c r="D179" s="409" t="s">
        <v>457</v>
      </c>
      <c r="E179" s="429"/>
      <c r="F179" s="395"/>
      <c r="G179" s="395"/>
      <c r="H179" s="434"/>
      <c r="I179" s="434"/>
      <c r="J179" s="396"/>
      <c r="K179" s="434"/>
      <c r="L179" s="434"/>
      <c r="M179" s="434"/>
      <c r="N179" s="396"/>
      <c r="O179" s="396"/>
      <c r="P179" s="562"/>
      <c r="Q179" s="361">
        <f>SUM(E179:P179)</f>
        <v>0</v>
      </c>
    </row>
    <row r="180" spans="1:17" s="751" customFormat="1" ht="15" customHeight="1" hidden="1">
      <c r="A180" s="2059"/>
      <c r="B180" s="2063"/>
      <c r="C180" s="2031"/>
      <c r="D180" s="423" t="s">
        <v>446</v>
      </c>
      <c r="E180" s="430">
        <f>SUM(E175:E179)</f>
        <v>0</v>
      </c>
      <c r="F180" s="413">
        <f aca="true" t="shared" si="28" ref="F180:Q180">SUM(F175:F179)</f>
        <v>0</v>
      </c>
      <c r="G180" s="413">
        <f>SUM(G175:G179)</f>
        <v>0</v>
      </c>
      <c r="H180" s="413">
        <f t="shared" si="28"/>
        <v>0</v>
      </c>
      <c r="I180" s="413">
        <f t="shared" si="28"/>
        <v>0</v>
      </c>
      <c r="J180" s="413">
        <f>SUM(J175:J179)</f>
        <v>0</v>
      </c>
      <c r="K180" s="413">
        <f t="shared" si="28"/>
        <v>0</v>
      </c>
      <c r="L180" s="413">
        <f t="shared" si="28"/>
        <v>0</v>
      </c>
      <c r="M180" s="413">
        <f>SUM(M175:M179)</f>
        <v>0</v>
      </c>
      <c r="N180" s="413">
        <f t="shared" si="28"/>
        <v>0</v>
      </c>
      <c r="O180" s="413">
        <f t="shared" si="28"/>
        <v>0</v>
      </c>
      <c r="P180" s="571">
        <f t="shared" si="28"/>
        <v>0</v>
      </c>
      <c r="Q180" s="431">
        <f t="shared" si="28"/>
        <v>0</v>
      </c>
    </row>
    <row r="181" spans="1:17" s="752" customFormat="1" ht="4.5" customHeight="1" hidden="1">
      <c r="A181" s="1162"/>
      <c r="B181" s="1165"/>
      <c r="C181" s="1163"/>
      <c r="D181" s="425"/>
      <c r="E181" s="385"/>
      <c r="F181" s="383"/>
      <c r="G181" s="383"/>
      <c r="H181" s="384"/>
      <c r="I181" s="384"/>
      <c r="J181" s="383"/>
      <c r="K181" s="558"/>
      <c r="L181" s="564"/>
      <c r="M181" s="385"/>
      <c r="N181" s="383"/>
      <c r="O181" s="383"/>
      <c r="P181" s="558"/>
      <c r="Q181" s="386"/>
    </row>
    <row r="182" spans="1:17" s="750" customFormat="1" ht="15" customHeight="1">
      <c r="A182" s="2057">
        <v>8</v>
      </c>
      <c r="B182" s="2064" t="s">
        <v>458</v>
      </c>
      <c r="C182" s="2028" t="s">
        <v>435</v>
      </c>
      <c r="D182" s="415" t="s">
        <v>436</v>
      </c>
      <c r="E182" s="389">
        <v>-13102</v>
      </c>
      <c r="F182" s="435">
        <v>-13650</v>
      </c>
      <c r="G182" s="436">
        <v>-4417</v>
      </c>
      <c r="H182" s="437">
        <v>-230</v>
      </c>
      <c r="I182" s="437">
        <v>-163</v>
      </c>
      <c r="J182" s="436">
        <v>-6400</v>
      </c>
      <c r="K182" s="436">
        <v>-10699</v>
      </c>
      <c r="L182" s="436">
        <v>-16314</v>
      </c>
      <c r="M182" s="436">
        <v>-5856</v>
      </c>
      <c r="N182" s="436">
        <v>-3011</v>
      </c>
      <c r="O182" s="436">
        <v>-13040</v>
      </c>
      <c r="P182" s="572">
        <v>-903</v>
      </c>
      <c r="Q182" s="390">
        <f>SUM(E182:P182)</f>
        <v>-87785</v>
      </c>
    </row>
    <row r="183" spans="1:17" s="750" customFormat="1" ht="15" customHeight="1">
      <c r="A183" s="2058"/>
      <c r="B183" s="2065"/>
      <c r="C183" s="2029"/>
      <c r="D183" s="426" t="s">
        <v>825</v>
      </c>
      <c r="E183" s="367">
        <v>-16057</v>
      </c>
      <c r="F183" s="438">
        <v>-6460</v>
      </c>
      <c r="G183" s="362">
        <v>-6204</v>
      </c>
      <c r="H183" s="439">
        <v>-29850</v>
      </c>
      <c r="I183" s="438">
        <v>-38569</v>
      </c>
      <c r="J183" s="362">
        <v>-20131</v>
      </c>
      <c r="K183" s="362">
        <v>-3971</v>
      </c>
      <c r="L183" s="362">
        <v>-12548</v>
      </c>
      <c r="M183" s="362">
        <v>-29706</v>
      </c>
      <c r="N183" s="362">
        <v>-26615</v>
      </c>
      <c r="O183" s="362">
        <v>-40895</v>
      </c>
      <c r="P183" s="554">
        <v>-24781</v>
      </c>
      <c r="Q183" s="359">
        <f>SUM(E183:P183)</f>
        <v>-255787</v>
      </c>
    </row>
    <row r="184" spans="1:17" s="750" customFormat="1" ht="15" customHeight="1">
      <c r="A184" s="2058"/>
      <c r="B184" s="2065"/>
      <c r="C184" s="2029"/>
      <c r="D184" s="426" t="s">
        <v>437</v>
      </c>
      <c r="E184" s="367">
        <v>-530</v>
      </c>
      <c r="F184" s="438">
        <v>-2285</v>
      </c>
      <c r="G184" s="358">
        <v>-366</v>
      </c>
      <c r="H184" s="439">
        <v>-4368</v>
      </c>
      <c r="I184" s="438">
        <v>-3363</v>
      </c>
      <c r="J184" s="358">
        <v>-1598</v>
      </c>
      <c r="K184" s="358">
        <v>-91</v>
      </c>
      <c r="L184" s="358">
        <v>-240</v>
      </c>
      <c r="M184" s="358">
        <v>-1844</v>
      </c>
      <c r="N184" s="358">
        <v>-1983</v>
      </c>
      <c r="O184" s="358">
        <v>-2305</v>
      </c>
      <c r="P184" s="554">
        <v>-1735</v>
      </c>
      <c r="Q184" s="361">
        <f>SUM(E184:P184)</f>
        <v>-20708</v>
      </c>
    </row>
    <row r="185" spans="1:17" s="750" customFormat="1" ht="15" customHeight="1">
      <c r="A185" s="2058"/>
      <c r="B185" s="2065"/>
      <c r="C185" s="2029"/>
      <c r="D185" s="410" t="s">
        <v>438</v>
      </c>
      <c r="E185" s="365">
        <f aca="true" t="shared" si="29" ref="E185:P185">SUM(E182:E184)</f>
        <v>-29689</v>
      </c>
      <c r="F185" s="365">
        <f t="shared" si="29"/>
        <v>-22395</v>
      </c>
      <c r="G185" s="365">
        <f t="shared" si="29"/>
        <v>-10987</v>
      </c>
      <c r="H185" s="365">
        <f t="shared" si="29"/>
        <v>-34448</v>
      </c>
      <c r="I185" s="365">
        <f t="shared" si="29"/>
        <v>-42095</v>
      </c>
      <c r="J185" s="368">
        <f t="shared" si="29"/>
        <v>-28129</v>
      </c>
      <c r="K185" s="365">
        <f t="shared" si="29"/>
        <v>-14761</v>
      </c>
      <c r="L185" s="365">
        <f t="shared" si="29"/>
        <v>-29102</v>
      </c>
      <c r="M185" s="365">
        <f t="shared" si="29"/>
        <v>-37406</v>
      </c>
      <c r="N185" s="365">
        <f t="shared" si="29"/>
        <v>-31609</v>
      </c>
      <c r="O185" s="365">
        <f t="shared" si="29"/>
        <v>-56240</v>
      </c>
      <c r="P185" s="561">
        <f t="shared" si="29"/>
        <v>-27419</v>
      </c>
      <c r="Q185" s="366">
        <f>SUM(Q182:Q184)</f>
        <v>-364280</v>
      </c>
    </row>
    <row r="186" spans="1:17" s="750" customFormat="1" ht="15" customHeight="1">
      <c r="A186" s="2058"/>
      <c r="B186" s="2065"/>
      <c r="C186" s="2029"/>
      <c r="D186" s="426" t="s">
        <v>439</v>
      </c>
      <c r="E186" s="367">
        <v>2017</v>
      </c>
      <c r="F186" s="438">
        <v>1341</v>
      </c>
      <c r="G186" s="358">
        <v>3111</v>
      </c>
      <c r="H186" s="439">
        <v>28059</v>
      </c>
      <c r="I186" s="438">
        <v>33632</v>
      </c>
      <c r="J186" s="358">
        <v>15750</v>
      </c>
      <c r="K186" s="358">
        <v>1748</v>
      </c>
      <c r="L186" s="358">
        <v>3847</v>
      </c>
      <c r="M186" s="358">
        <v>17790</v>
      </c>
      <c r="N186" s="358">
        <v>23608</v>
      </c>
      <c r="O186" s="358">
        <v>10356</v>
      </c>
      <c r="P186" s="554">
        <v>16756</v>
      </c>
      <c r="Q186" s="361">
        <f>SUM(E186:P186)</f>
        <v>158015</v>
      </c>
    </row>
    <row r="187" spans="1:17" s="750" customFormat="1" ht="15" customHeight="1">
      <c r="A187" s="2058"/>
      <c r="B187" s="2065"/>
      <c r="C187" s="2029"/>
      <c r="D187" s="426" t="s">
        <v>826</v>
      </c>
      <c r="E187" s="367">
        <v>10029</v>
      </c>
      <c r="F187" s="438">
        <v>661</v>
      </c>
      <c r="G187" s="358">
        <v>725</v>
      </c>
      <c r="H187" s="439">
        <v>480</v>
      </c>
      <c r="I187" s="438">
        <v>0</v>
      </c>
      <c r="J187" s="358">
        <v>0</v>
      </c>
      <c r="K187" s="358">
        <v>0</v>
      </c>
      <c r="L187" s="358">
        <v>2416</v>
      </c>
      <c r="M187" s="358">
        <v>169</v>
      </c>
      <c r="N187" s="358">
        <v>4183</v>
      </c>
      <c r="O187" s="358">
        <v>4192</v>
      </c>
      <c r="P187" s="554">
        <v>2935</v>
      </c>
      <c r="Q187" s="361">
        <f>SUM(E187:P187)</f>
        <v>25790</v>
      </c>
    </row>
    <row r="188" spans="1:17" s="750" customFormat="1" ht="15" customHeight="1">
      <c r="A188" s="2058"/>
      <c r="B188" s="2065"/>
      <c r="C188" s="2029"/>
      <c r="D188" s="426" t="s">
        <v>440</v>
      </c>
      <c r="E188" s="367">
        <v>0</v>
      </c>
      <c r="F188" s="438">
        <v>0</v>
      </c>
      <c r="G188" s="358">
        <v>0</v>
      </c>
      <c r="H188" s="439">
        <v>80</v>
      </c>
      <c r="I188" s="438">
        <v>248</v>
      </c>
      <c r="J188" s="358">
        <v>40</v>
      </c>
      <c r="K188" s="358">
        <v>266</v>
      </c>
      <c r="L188" s="358">
        <v>3265</v>
      </c>
      <c r="M188" s="358">
        <v>1180</v>
      </c>
      <c r="N188" s="358">
        <v>146</v>
      </c>
      <c r="O188" s="358">
        <v>80</v>
      </c>
      <c r="P188" s="554">
        <v>0</v>
      </c>
      <c r="Q188" s="361">
        <f>SUM(E188:P188)</f>
        <v>5305</v>
      </c>
    </row>
    <row r="189" spans="1:17" s="750" customFormat="1" ht="15" customHeight="1">
      <c r="A189" s="2058"/>
      <c r="B189" s="2065"/>
      <c r="C189" s="2030"/>
      <c r="D189" s="410" t="s">
        <v>441</v>
      </c>
      <c r="E189" s="365">
        <f aca="true" t="shared" si="30" ref="E189:P189">SUM(E186:E188)</f>
        <v>12046</v>
      </c>
      <c r="F189" s="365">
        <f t="shared" si="30"/>
        <v>2002</v>
      </c>
      <c r="G189" s="365">
        <f t="shared" si="30"/>
        <v>3836</v>
      </c>
      <c r="H189" s="365">
        <f t="shared" si="30"/>
        <v>28619</v>
      </c>
      <c r="I189" s="365">
        <f t="shared" si="30"/>
        <v>33880</v>
      </c>
      <c r="J189" s="365">
        <f t="shared" si="30"/>
        <v>15790</v>
      </c>
      <c r="K189" s="365">
        <f t="shared" si="30"/>
        <v>2014</v>
      </c>
      <c r="L189" s="365">
        <f t="shared" si="30"/>
        <v>9528</v>
      </c>
      <c r="M189" s="365">
        <f t="shared" si="30"/>
        <v>19139</v>
      </c>
      <c r="N189" s="365">
        <f t="shared" si="30"/>
        <v>27937</v>
      </c>
      <c r="O189" s="365">
        <f t="shared" si="30"/>
        <v>14628</v>
      </c>
      <c r="P189" s="561">
        <f t="shared" si="30"/>
        <v>19691</v>
      </c>
      <c r="Q189" s="366">
        <f>SUM(Q186:Q188)</f>
        <v>189110</v>
      </c>
    </row>
    <row r="190" spans="1:17" s="750" customFormat="1" ht="15" customHeight="1">
      <c r="A190" s="2058"/>
      <c r="B190" s="2065"/>
      <c r="C190" s="2029" t="s">
        <v>444</v>
      </c>
      <c r="D190" s="409" t="s">
        <v>733</v>
      </c>
      <c r="E190" s="371">
        <v>2976</v>
      </c>
      <c r="F190" s="371">
        <v>2688</v>
      </c>
      <c r="G190" s="371">
        <v>2972</v>
      </c>
      <c r="H190" s="371">
        <v>2880</v>
      </c>
      <c r="I190" s="375">
        <v>2976</v>
      </c>
      <c r="J190" s="394">
        <v>2880</v>
      </c>
      <c r="K190" s="375">
        <v>2976</v>
      </c>
      <c r="L190" s="375">
        <v>2976</v>
      </c>
      <c r="M190" s="375">
        <v>2880</v>
      </c>
      <c r="N190" s="394">
        <v>2980</v>
      </c>
      <c r="O190" s="394">
        <v>2880</v>
      </c>
      <c r="P190" s="567">
        <v>2976</v>
      </c>
      <c r="Q190" s="361">
        <f aca="true" t="shared" si="31" ref="Q190:Q205">SUM(E190:P190)</f>
        <v>35040</v>
      </c>
    </row>
    <row r="191" spans="1:17" s="750" customFormat="1" ht="15" customHeight="1">
      <c r="A191" s="2058"/>
      <c r="B191" s="2065"/>
      <c r="C191" s="2029"/>
      <c r="D191" s="409" t="s">
        <v>831</v>
      </c>
      <c r="E191" s="371"/>
      <c r="F191" s="371"/>
      <c r="G191" s="371"/>
      <c r="H191" s="371"/>
      <c r="I191" s="375"/>
      <c r="J191" s="394"/>
      <c r="K191" s="555"/>
      <c r="L191" s="394"/>
      <c r="M191" s="394"/>
      <c r="N191" s="394"/>
      <c r="O191" s="394"/>
      <c r="P191" s="567"/>
      <c r="Q191" s="361">
        <f t="shared" si="31"/>
        <v>0</v>
      </c>
    </row>
    <row r="192" spans="1:17" s="750" customFormat="1" ht="15" customHeight="1">
      <c r="A192" s="2058"/>
      <c r="B192" s="2065"/>
      <c r="C192" s="2029"/>
      <c r="D192" s="409" t="s">
        <v>445</v>
      </c>
      <c r="E192" s="371"/>
      <c r="F192" s="371">
        <v>16800</v>
      </c>
      <c r="G192" s="371">
        <v>1680</v>
      </c>
      <c r="H192" s="371">
        <v>2981</v>
      </c>
      <c r="I192" s="375">
        <v>4350</v>
      </c>
      <c r="J192" s="394">
        <v>8460</v>
      </c>
      <c r="K192" s="375">
        <v>9240</v>
      </c>
      <c r="L192" s="394">
        <v>12900</v>
      </c>
      <c r="M192" s="394">
        <v>10840</v>
      </c>
      <c r="N192" s="394">
        <v>75</v>
      </c>
      <c r="O192" s="394"/>
      <c r="P192" s="567"/>
      <c r="Q192" s="361">
        <f t="shared" si="31"/>
        <v>67326</v>
      </c>
    </row>
    <row r="193" spans="1:17" s="750" customFormat="1" ht="15" customHeight="1">
      <c r="A193" s="2058"/>
      <c r="B193" s="2065"/>
      <c r="C193" s="2029"/>
      <c r="D193" s="409" t="s">
        <v>455</v>
      </c>
      <c r="E193" s="371"/>
      <c r="F193" s="371"/>
      <c r="G193" s="371"/>
      <c r="H193" s="450">
        <v>-1920</v>
      </c>
      <c r="I193" s="375"/>
      <c r="J193" s="394"/>
      <c r="K193" s="394"/>
      <c r="L193" s="394"/>
      <c r="M193" s="394"/>
      <c r="N193" s="394"/>
      <c r="O193" s="394">
        <v>-5340</v>
      </c>
      <c r="P193" s="567">
        <v>-900</v>
      </c>
      <c r="Q193" s="361">
        <f t="shared" si="31"/>
        <v>-8160</v>
      </c>
    </row>
    <row r="194" spans="1:17" s="750" customFormat="1" ht="15" customHeight="1">
      <c r="A194" s="2058"/>
      <c r="B194" s="2065"/>
      <c r="C194" s="2029"/>
      <c r="D194" s="409" t="s">
        <v>1189</v>
      </c>
      <c r="E194" s="371"/>
      <c r="F194" s="371"/>
      <c r="G194" s="371"/>
      <c r="H194" s="372"/>
      <c r="I194" s="375"/>
      <c r="J194" s="394"/>
      <c r="K194" s="394"/>
      <c r="L194" s="394">
        <v>3360</v>
      </c>
      <c r="M194" s="394">
        <v>3800</v>
      </c>
      <c r="N194" s="394"/>
      <c r="O194" s="394"/>
      <c r="P194" s="567"/>
      <c r="Q194" s="361">
        <f t="shared" si="31"/>
        <v>7160</v>
      </c>
    </row>
    <row r="195" spans="1:17" s="750" customFormat="1" ht="15" customHeight="1">
      <c r="A195" s="2058"/>
      <c r="B195" s="2065"/>
      <c r="C195" s="2029"/>
      <c r="D195" s="409" t="s">
        <v>828</v>
      </c>
      <c r="E195" s="371"/>
      <c r="F195" s="371"/>
      <c r="G195" s="371"/>
      <c r="H195" s="371"/>
      <c r="I195" s="375"/>
      <c r="J195" s="394"/>
      <c r="K195" s="394">
        <v>-480</v>
      </c>
      <c r="L195" s="394">
        <v>-720</v>
      </c>
      <c r="M195" s="394"/>
      <c r="N195" s="394"/>
      <c r="O195" s="394"/>
      <c r="P195" s="567"/>
      <c r="Q195" s="361">
        <f t="shared" si="31"/>
        <v>-1200</v>
      </c>
    </row>
    <row r="196" spans="1:17" s="750" customFormat="1" ht="15" customHeight="1">
      <c r="A196" s="2058"/>
      <c r="B196" s="2065"/>
      <c r="C196" s="2029"/>
      <c r="D196" s="409" t="s">
        <v>845</v>
      </c>
      <c r="E196" s="371">
        <v>1275</v>
      </c>
      <c r="F196" s="371">
        <v>905</v>
      </c>
      <c r="G196" s="371">
        <v>1443</v>
      </c>
      <c r="H196" s="371">
        <v>1096</v>
      </c>
      <c r="I196" s="375">
        <v>889</v>
      </c>
      <c r="J196" s="394">
        <v>999</v>
      </c>
      <c r="K196" s="394">
        <v>1011</v>
      </c>
      <c r="L196" s="394">
        <v>1058</v>
      </c>
      <c r="M196" s="394">
        <v>747</v>
      </c>
      <c r="N196" s="394">
        <v>617</v>
      </c>
      <c r="O196" s="394"/>
      <c r="P196" s="567"/>
      <c r="Q196" s="361">
        <f t="shared" si="31"/>
        <v>10040</v>
      </c>
    </row>
    <row r="197" spans="1:17" s="750" customFormat="1" ht="15" customHeight="1">
      <c r="A197" s="2058"/>
      <c r="B197" s="2065"/>
      <c r="C197" s="2029"/>
      <c r="D197" s="409" t="s">
        <v>734</v>
      </c>
      <c r="E197" s="371"/>
      <c r="F197" s="371"/>
      <c r="G197" s="371"/>
      <c r="H197" s="371"/>
      <c r="I197" s="375"/>
      <c r="J197" s="394"/>
      <c r="K197" s="394"/>
      <c r="L197" s="394"/>
      <c r="M197" s="394"/>
      <c r="N197" s="394"/>
      <c r="O197" s="394"/>
      <c r="P197" s="567"/>
      <c r="Q197" s="361">
        <f t="shared" si="31"/>
        <v>0</v>
      </c>
    </row>
    <row r="198" spans="1:17" s="750" customFormat="1" ht="15" customHeight="1">
      <c r="A198" s="2058"/>
      <c r="B198" s="2065"/>
      <c r="C198" s="2029"/>
      <c r="D198" s="409" t="s">
        <v>531</v>
      </c>
      <c r="E198" s="371"/>
      <c r="F198" s="371"/>
      <c r="G198" s="371">
        <v>1056</v>
      </c>
      <c r="H198" s="371">
        <v>792</v>
      </c>
      <c r="I198" s="375"/>
      <c r="J198" s="394"/>
      <c r="K198" s="394"/>
      <c r="L198" s="394"/>
      <c r="M198" s="394"/>
      <c r="N198" s="394"/>
      <c r="O198" s="394"/>
      <c r="P198" s="567"/>
      <c r="Q198" s="361">
        <f t="shared" si="31"/>
        <v>1848</v>
      </c>
    </row>
    <row r="199" spans="1:17" s="750" customFormat="1" ht="15" customHeight="1">
      <c r="A199" s="2058"/>
      <c r="B199" s="2065"/>
      <c r="C199" s="2029"/>
      <c r="D199" s="409" t="s">
        <v>447</v>
      </c>
      <c r="E199" s="371"/>
      <c r="F199" s="371"/>
      <c r="G199" s="371"/>
      <c r="H199" s="371"/>
      <c r="I199" s="375"/>
      <c r="J199" s="394"/>
      <c r="K199" s="394"/>
      <c r="L199" s="394"/>
      <c r="M199" s="394"/>
      <c r="N199" s="394"/>
      <c r="O199" s="394"/>
      <c r="P199" s="567">
        <v>-10188</v>
      </c>
      <c r="Q199" s="361">
        <f t="shared" si="31"/>
        <v>-10188</v>
      </c>
    </row>
    <row r="200" spans="1:17" s="750" customFormat="1" ht="15" customHeight="1">
      <c r="A200" s="2058"/>
      <c r="B200" s="2065"/>
      <c r="C200" s="2029"/>
      <c r="D200" s="409" t="s">
        <v>454</v>
      </c>
      <c r="E200" s="371"/>
      <c r="F200" s="371"/>
      <c r="G200" s="371"/>
      <c r="H200" s="371"/>
      <c r="I200" s="375"/>
      <c r="J200" s="394"/>
      <c r="K200" s="394"/>
      <c r="L200" s="394"/>
      <c r="M200" s="394"/>
      <c r="N200" s="394"/>
      <c r="O200" s="394">
        <v>44072</v>
      </c>
      <c r="P200" s="567">
        <v>15840</v>
      </c>
      <c r="Q200" s="361">
        <f t="shared" si="31"/>
        <v>59912</v>
      </c>
    </row>
    <row r="201" spans="1:17" s="750" customFormat="1" ht="15" customHeight="1">
      <c r="A201" s="2058"/>
      <c r="B201" s="2065"/>
      <c r="C201" s="2029"/>
      <c r="D201" s="409" t="s">
        <v>829</v>
      </c>
      <c r="E201" s="371"/>
      <c r="F201" s="371"/>
      <c r="G201" s="371"/>
      <c r="H201" s="371"/>
      <c r="I201" s="375"/>
      <c r="J201" s="394"/>
      <c r="K201" s="394"/>
      <c r="L201" s="394"/>
      <c r="M201" s="394"/>
      <c r="N201" s="394"/>
      <c r="O201" s="394"/>
      <c r="P201" s="567"/>
      <c r="Q201" s="361">
        <f t="shared" si="31"/>
        <v>0</v>
      </c>
    </row>
    <row r="202" spans="1:17" s="750" customFormat="1" ht="15" customHeight="1">
      <c r="A202" s="2058"/>
      <c r="B202" s="2065"/>
      <c r="C202" s="2029"/>
      <c r="D202" s="409" t="s">
        <v>837</v>
      </c>
      <c r="E202" s="371"/>
      <c r="F202" s="371"/>
      <c r="G202" s="371"/>
      <c r="H202" s="371"/>
      <c r="I202" s="375"/>
      <c r="J202" s="394"/>
      <c r="K202" s="394"/>
      <c r="L202" s="394"/>
      <c r="M202" s="394"/>
      <c r="N202" s="394"/>
      <c r="O202" s="394"/>
      <c r="P202" s="567"/>
      <c r="Q202" s="361">
        <f t="shared" si="31"/>
        <v>0</v>
      </c>
    </row>
    <row r="203" spans="1:17" s="750" customFormat="1" ht="15" customHeight="1">
      <c r="A203" s="2058"/>
      <c r="B203" s="2065"/>
      <c r="C203" s="2029"/>
      <c r="D203" s="409" t="s">
        <v>498</v>
      </c>
      <c r="E203" s="371"/>
      <c r="F203" s="371"/>
      <c r="G203" s="371"/>
      <c r="H203" s="371"/>
      <c r="I203" s="375"/>
      <c r="J203" s="394"/>
      <c r="K203" s="394"/>
      <c r="L203" s="394"/>
      <c r="M203" s="394"/>
      <c r="N203" s="394"/>
      <c r="O203" s="394"/>
      <c r="P203" s="567"/>
      <c r="Q203" s="361">
        <f t="shared" si="31"/>
        <v>0</v>
      </c>
    </row>
    <row r="204" spans="1:17" s="750" customFormat="1" ht="15" customHeight="1">
      <c r="A204" s="2058"/>
      <c r="B204" s="2065"/>
      <c r="C204" s="2029"/>
      <c r="D204" s="409" t="s">
        <v>499</v>
      </c>
      <c r="E204" s="371">
        <v>13392</v>
      </c>
      <c r="F204" s="371"/>
      <c r="G204" s="371"/>
      <c r="H204" s="371"/>
      <c r="I204" s="375"/>
      <c r="J204" s="394"/>
      <c r="K204" s="394"/>
      <c r="L204" s="394"/>
      <c r="M204" s="394"/>
      <c r="N204" s="394"/>
      <c r="O204" s="394"/>
      <c r="P204" s="567"/>
      <c r="Q204" s="361">
        <f t="shared" si="31"/>
        <v>13392</v>
      </c>
    </row>
    <row r="205" spans="1:17" s="750" customFormat="1" ht="15" customHeight="1">
      <c r="A205" s="2058"/>
      <c r="B205" s="2065"/>
      <c r="C205" s="2029"/>
      <c r="D205" s="409" t="s">
        <v>828</v>
      </c>
      <c r="E205" s="371"/>
      <c r="F205" s="371"/>
      <c r="G205" s="371"/>
      <c r="H205" s="371"/>
      <c r="I205" s="375"/>
      <c r="J205" s="375"/>
      <c r="K205" s="394"/>
      <c r="L205" s="394"/>
      <c r="M205" s="394"/>
      <c r="N205" s="394"/>
      <c r="O205" s="394"/>
      <c r="P205" s="567"/>
      <c r="Q205" s="440">
        <f t="shared" si="31"/>
        <v>0</v>
      </c>
    </row>
    <row r="206" spans="1:18" s="751" customFormat="1" ht="15" customHeight="1" thickBot="1">
      <c r="A206" s="2059"/>
      <c r="B206" s="2066"/>
      <c r="C206" s="2031"/>
      <c r="D206" s="423" t="s">
        <v>446</v>
      </c>
      <c r="E206" s="430">
        <f>SUM(E190:E205)</f>
        <v>17643</v>
      </c>
      <c r="F206" s="413">
        <f>SUM(F190:F205)</f>
        <v>20393</v>
      </c>
      <c r="G206" s="413">
        <f>SUM(G190:G205)</f>
        <v>7151</v>
      </c>
      <c r="H206" s="441">
        <f aca="true" t="shared" si="32" ref="H206:P206">SUM(H190:H205)</f>
        <v>5829</v>
      </c>
      <c r="I206" s="413">
        <f t="shared" si="32"/>
        <v>8215</v>
      </c>
      <c r="J206" s="413">
        <f t="shared" si="32"/>
        <v>12339</v>
      </c>
      <c r="K206" s="413">
        <f t="shared" si="32"/>
        <v>12747</v>
      </c>
      <c r="L206" s="413">
        <f t="shared" si="32"/>
        <v>19574</v>
      </c>
      <c r="M206" s="413">
        <f t="shared" si="32"/>
        <v>18267</v>
      </c>
      <c r="N206" s="413">
        <f t="shared" si="32"/>
        <v>3672</v>
      </c>
      <c r="O206" s="413">
        <f>SUM(O190:O205)</f>
        <v>41612</v>
      </c>
      <c r="P206" s="571">
        <f t="shared" si="32"/>
        <v>7728</v>
      </c>
      <c r="Q206" s="431">
        <f>SUM(Q190:Q205)</f>
        <v>175170</v>
      </c>
      <c r="R206" s="753">
        <f>Q185+Q189+Q206</f>
        <v>0</v>
      </c>
    </row>
    <row r="207" spans="1:17" s="752" customFormat="1" ht="4.5" customHeight="1" thickBot="1">
      <c r="A207" s="1162"/>
      <c r="B207" s="1165"/>
      <c r="C207" s="1163"/>
      <c r="D207" s="425"/>
      <c r="E207" s="385"/>
      <c r="F207" s="383"/>
      <c r="G207" s="383"/>
      <c r="H207" s="384"/>
      <c r="I207" s="384"/>
      <c r="J207" s="383"/>
      <c r="K207" s="383"/>
      <c r="L207" s="383"/>
      <c r="M207" s="383"/>
      <c r="N207" s="383"/>
      <c r="O207" s="383"/>
      <c r="P207" s="558"/>
      <c r="Q207" s="386"/>
    </row>
    <row r="208" spans="1:17" s="750" customFormat="1" ht="15" customHeight="1">
      <c r="A208" s="2057">
        <v>9</v>
      </c>
      <c r="B208" s="2067" t="s">
        <v>127</v>
      </c>
      <c r="C208" s="2028" t="s">
        <v>435</v>
      </c>
      <c r="D208" s="415" t="s">
        <v>436</v>
      </c>
      <c r="E208" s="435"/>
      <c r="F208" s="435"/>
      <c r="G208" s="435"/>
      <c r="H208" s="435"/>
      <c r="I208" s="435"/>
      <c r="J208" s="435"/>
      <c r="K208" s="435"/>
      <c r="L208" s="435"/>
      <c r="M208" s="435"/>
      <c r="N208" s="435"/>
      <c r="O208" s="573"/>
      <c r="P208" s="574">
        <v>0</v>
      </c>
      <c r="Q208" s="390">
        <f>SUM(E208:P208)</f>
        <v>0</v>
      </c>
    </row>
    <row r="209" spans="1:17" s="750" customFormat="1" ht="15" customHeight="1">
      <c r="A209" s="2058"/>
      <c r="B209" s="2068"/>
      <c r="C209" s="2029"/>
      <c r="D209" s="426" t="s">
        <v>825</v>
      </c>
      <c r="E209" s="438"/>
      <c r="F209" s="438"/>
      <c r="G209" s="438"/>
      <c r="H209" s="438"/>
      <c r="I209" s="438"/>
      <c r="J209" s="438"/>
      <c r="K209" s="438"/>
      <c r="L209" s="438"/>
      <c r="M209" s="438"/>
      <c r="N209" s="438"/>
      <c r="O209" s="438"/>
      <c r="P209" s="575">
        <v>0</v>
      </c>
      <c r="Q209" s="359">
        <f>SUM(E209:P209)</f>
        <v>0</v>
      </c>
    </row>
    <row r="210" spans="1:17" s="750" customFormat="1" ht="15" customHeight="1">
      <c r="A210" s="2058"/>
      <c r="B210" s="2068"/>
      <c r="C210" s="2029"/>
      <c r="D210" s="426" t="s">
        <v>437</v>
      </c>
      <c r="E210" s="438"/>
      <c r="F210" s="438"/>
      <c r="G210" s="438"/>
      <c r="H210" s="438"/>
      <c r="I210" s="438"/>
      <c r="J210" s="438"/>
      <c r="K210" s="438"/>
      <c r="L210" s="438"/>
      <c r="M210" s="438"/>
      <c r="N210" s="438"/>
      <c r="O210" s="442"/>
      <c r="P210" s="575">
        <v>0</v>
      </c>
      <c r="Q210" s="361">
        <f>SUM(E210:P210)</f>
        <v>0</v>
      </c>
    </row>
    <row r="211" spans="1:17" s="750" customFormat="1" ht="15" customHeight="1">
      <c r="A211" s="2058"/>
      <c r="B211" s="2068"/>
      <c r="C211" s="2029"/>
      <c r="D211" s="410" t="s">
        <v>438</v>
      </c>
      <c r="E211" s="443">
        <f>SUM(E208:E210)</f>
        <v>0</v>
      </c>
      <c r="F211" s="443">
        <f>SUM(F208:F210)</f>
        <v>0</v>
      </c>
      <c r="G211" s="444">
        <f aca="true" t="shared" si="33" ref="G211:P211">SUM(G208:G210)</f>
        <v>0</v>
      </c>
      <c r="H211" s="445">
        <f t="shared" si="33"/>
        <v>0</v>
      </c>
      <c r="I211" s="445">
        <f t="shared" si="33"/>
        <v>0</v>
      </c>
      <c r="J211" s="445">
        <f t="shared" si="33"/>
        <v>0</v>
      </c>
      <c r="K211" s="445">
        <f t="shared" si="33"/>
        <v>0</v>
      </c>
      <c r="L211" s="576">
        <f t="shared" si="33"/>
        <v>0</v>
      </c>
      <c r="M211" s="576">
        <f t="shared" si="33"/>
        <v>0</v>
      </c>
      <c r="N211" s="576">
        <f t="shared" si="33"/>
        <v>0</v>
      </c>
      <c r="O211" s="576">
        <f t="shared" si="33"/>
        <v>0</v>
      </c>
      <c r="P211" s="577">
        <f t="shared" si="33"/>
        <v>0</v>
      </c>
      <c r="Q211" s="366">
        <f>SUM(Q208:Q210)</f>
        <v>0</v>
      </c>
    </row>
    <row r="212" spans="1:17" s="750" customFormat="1" ht="15" customHeight="1">
      <c r="A212" s="2058"/>
      <c r="B212" s="2068"/>
      <c r="C212" s="2029"/>
      <c r="D212" s="426" t="s">
        <v>439</v>
      </c>
      <c r="E212" s="438"/>
      <c r="F212" s="438"/>
      <c r="G212" s="438"/>
      <c r="H212" s="442"/>
      <c r="I212" s="442"/>
      <c r="J212" s="442"/>
      <c r="K212" s="442"/>
      <c r="L212" s="442"/>
      <c r="M212" s="442"/>
      <c r="N212" s="442"/>
      <c r="O212" s="442"/>
      <c r="P212" s="575">
        <v>0</v>
      </c>
      <c r="Q212" s="361">
        <f>SUM(E212:P212)</f>
        <v>0</v>
      </c>
    </row>
    <row r="213" spans="1:17" s="750" customFormat="1" ht="15" customHeight="1">
      <c r="A213" s="2058"/>
      <c r="B213" s="2068"/>
      <c r="C213" s="2029"/>
      <c r="D213" s="426" t="s">
        <v>826</v>
      </c>
      <c r="E213" s="438"/>
      <c r="F213" s="438"/>
      <c r="G213" s="438"/>
      <c r="H213" s="438"/>
      <c r="I213" s="438"/>
      <c r="J213" s="438"/>
      <c r="K213" s="438"/>
      <c r="L213" s="438"/>
      <c r="M213" s="438"/>
      <c r="N213" s="438"/>
      <c r="O213" s="442"/>
      <c r="P213" s="575">
        <v>0</v>
      </c>
      <c r="Q213" s="361">
        <f>SUM(E213:P213)</f>
        <v>0</v>
      </c>
    </row>
    <row r="214" spans="1:17" s="750" customFormat="1" ht="15" customHeight="1">
      <c r="A214" s="2058"/>
      <c r="B214" s="2068"/>
      <c r="C214" s="2029"/>
      <c r="D214" s="426" t="s">
        <v>440</v>
      </c>
      <c r="E214" s="438"/>
      <c r="F214" s="438"/>
      <c r="G214" s="438"/>
      <c r="H214" s="438"/>
      <c r="I214" s="438"/>
      <c r="J214" s="438"/>
      <c r="K214" s="438"/>
      <c r="L214" s="438"/>
      <c r="M214" s="438"/>
      <c r="N214" s="438"/>
      <c r="O214" s="442"/>
      <c r="P214" s="575">
        <v>162</v>
      </c>
      <c r="Q214" s="361">
        <f>SUM(E214:P214)</f>
        <v>162</v>
      </c>
    </row>
    <row r="215" spans="1:17" s="750" customFormat="1" ht="15" customHeight="1">
      <c r="A215" s="2058"/>
      <c r="B215" s="2068"/>
      <c r="C215" s="2030"/>
      <c r="D215" s="410" t="s">
        <v>441</v>
      </c>
      <c r="E215" s="444">
        <f>SUM(E212:E214)</f>
        <v>0</v>
      </c>
      <c r="F215" s="444">
        <f aca="true" t="shared" si="34" ref="F215:P215">SUM(F212:F214)</f>
        <v>0</v>
      </c>
      <c r="G215" s="444">
        <f t="shared" si="34"/>
        <v>0</v>
      </c>
      <c r="H215" s="444">
        <f t="shared" si="34"/>
        <v>0</v>
      </c>
      <c r="I215" s="444">
        <f t="shared" si="34"/>
        <v>0</v>
      </c>
      <c r="J215" s="444">
        <f t="shared" si="34"/>
        <v>0</v>
      </c>
      <c r="K215" s="444">
        <f t="shared" si="34"/>
        <v>0</v>
      </c>
      <c r="L215" s="576">
        <f t="shared" si="34"/>
        <v>0</v>
      </c>
      <c r="M215" s="576">
        <f t="shared" si="34"/>
        <v>0</v>
      </c>
      <c r="N215" s="576">
        <f t="shared" si="34"/>
        <v>0</v>
      </c>
      <c r="O215" s="576">
        <f t="shared" si="34"/>
        <v>0</v>
      </c>
      <c r="P215" s="577">
        <f t="shared" si="34"/>
        <v>162</v>
      </c>
      <c r="Q215" s="366">
        <f>SUM(Q212:Q214)</f>
        <v>162</v>
      </c>
    </row>
    <row r="216" spans="1:17" s="750" customFormat="1" ht="15" customHeight="1">
      <c r="A216" s="2058"/>
      <c r="B216" s="2068"/>
      <c r="C216" s="2060" t="s">
        <v>653</v>
      </c>
      <c r="D216" s="370" t="s">
        <v>654</v>
      </c>
      <c r="E216" s="412">
        <v>48982</v>
      </c>
      <c r="F216" s="371">
        <v>23349</v>
      </c>
      <c r="G216" s="371">
        <v>34096.749999999985</v>
      </c>
      <c r="H216" s="371">
        <v>47492.47999999998</v>
      </c>
      <c r="I216" s="371">
        <v>43028.96000000001</v>
      </c>
      <c r="J216" s="371">
        <v>18334.62999999999</v>
      </c>
      <c r="K216" s="371">
        <v>13697.199999999999</v>
      </c>
      <c r="L216" s="371">
        <v>12620.4</v>
      </c>
      <c r="M216" s="578">
        <v>12095.199999999999</v>
      </c>
      <c r="N216" s="371">
        <v>13174.400000000005</v>
      </c>
      <c r="O216" s="371">
        <v>26783.6</v>
      </c>
      <c r="P216" s="371">
        <v>54458.9</v>
      </c>
      <c r="Q216" s="361">
        <f>SUM(E216:P216)</f>
        <v>348113.52</v>
      </c>
    </row>
    <row r="217" spans="1:17" s="751" customFormat="1" ht="15" customHeight="1">
      <c r="A217" s="2058"/>
      <c r="B217" s="2068"/>
      <c r="C217" s="2029"/>
      <c r="D217" s="363" t="s">
        <v>443</v>
      </c>
      <c r="E217" s="418">
        <f aca="true" t="shared" si="35" ref="E217:P217">SUM(E216)</f>
        <v>48982</v>
      </c>
      <c r="F217" s="368">
        <f t="shared" si="35"/>
        <v>23349</v>
      </c>
      <c r="G217" s="368">
        <f t="shared" si="35"/>
        <v>34096.749999999985</v>
      </c>
      <c r="H217" s="368">
        <f t="shared" si="35"/>
        <v>47492.47999999998</v>
      </c>
      <c r="I217" s="368">
        <f t="shared" si="35"/>
        <v>43028.96000000001</v>
      </c>
      <c r="J217" s="368">
        <f t="shared" si="35"/>
        <v>18334.62999999999</v>
      </c>
      <c r="K217" s="368">
        <f t="shared" si="35"/>
        <v>13697.199999999999</v>
      </c>
      <c r="L217" s="368">
        <f t="shared" si="35"/>
        <v>12620.4</v>
      </c>
      <c r="M217" s="368">
        <f t="shared" si="35"/>
        <v>12095.199999999999</v>
      </c>
      <c r="N217" s="368">
        <f t="shared" si="35"/>
        <v>13174.400000000005</v>
      </c>
      <c r="O217" s="368">
        <f t="shared" si="35"/>
        <v>26783.6</v>
      </c>
      <c r="P217" s="563">
        <f t="shared" si="35"/>
        <v>54458.9</v>
      </c>
      <c r="Q217" s="373">
        <f>SUM(Q216:Q216)</f>
        <v>348113.52</v>
      </c>
    </row>
    <row r="218" spans="1:17" s="750" customFormat="1" ht="15" customHeight="1">
      <c r="A218" s="2058"/>
      <c r="B218" s="2068"/>
      <c r="C218" s="2030"/>
      <c r="D218" s="409" t="s">
        <v>451</v>
      </c>
      <c r="E218" s="446">
        <v>1770</v>
      </c>
      <c r="F218" s="371">
        <v>21786</v>
      </c>
      <c r="G218" s="371">
        <v>32252.74999999999</v>
      </c>
      <c r="H218" s="371">
        <v>33363.47999999999</v>
      </c>
      <c r="I218" s="371">
        <v>24220.96</v>
      </c>
      <c r="J218" s="371">
        <v>24049.63</v>
      </c>
      <c r="K218" s="371">
        <v>1171.2</v>
      </c>
      <c r="L218" s="371">
        <v>1032.4</v>
      </c>
      <c r="M218" s="578">
        <v>787.2</v>
      </c>
      <c r="N218" s="371">
        <v>2221.4</v>
      </c>
      <c r="O218" s="371">
        <v>31180.60000000002</v>
      </c>
      <c r="P218" s="556">
        <v>20463.9</v>
      </c>
      <c r="Q218" s="361">
        <f>SUM(E218:P218)</f>
        <v>194299.52</v>
      </c>
    </row>
    <row r="219" spans="1:17" s="750" customFormat="1" ht="15" customHeight="1">
      <c r="A219" s="2058"/>
      <c r="B219" s="2068"/>
      <c r="C219" s="2029" t="s">
        <v>444</v>
      </c>
      <c r="D219" s="409" t="s">
        <v>452</v>
      </c>
      <c r="E219" s="375">
        <v>30492</v>
      </c>
      <c r="F219" s="375">
        <v>20163</v>
      </c>
      <c r="G219" s="375">
        <v>924</v>
      </c>
      <c r="H219" s="375">
        <v>3050</v>
      </c>
      <c r="I219" s="375">
        <v>18808</v>
      </c>
      <c r="J219" s="375">
        <v>2844</v>
      </c>
      <c r="K219" s="371">
        <v>6130</v>
      </c>
      <c r="L219" s="371">
        <v>11553</v>
      </c>
      <c r="M219" s="578"/>
      <c r="N219" s="375">
        <v>10742</v>
      </c>
      <c r="O219" s="375">
        <v>28080</v>
      </c>
      <c r="P219" s="579">
        <v>32736</v>
      </c>
      <c r="Q219" s="361">
        <f aca="true" t="shared" si="36" ref="Q219:Q228">SUM(E219:P219)</f>
        <v>165522</v>
      </c>
    </row>
    <row r="220" spans="1:17" s="750" customFormat="1" ht="15" customHeight="1">
      <c r="A220" s="2058"/>
      <c r="B220" s="2068"/>
      <c r="C220" s="2029"/>
      <c r="D220" s="409" t="s">
        <v>460</v>
      </c>
      <c r="E220" s="394"/>
      <c r="F220" s="394"/>
      <c r="G220" s="375"/>
      <c r="H220" s="375"/>
      <c r="I220" s="375"/>
      <c r="J220" s="375">
        <v>-8559</v>
      </c>
      <c r="K220" s="371"/>
      <c r="L220" s="371"/>
      <c r="M220" s="580"/>
      <c r="N220" s="394"/>
      <c r="O220" s="394"/>
      <c r="P220" s="567"/>
      <c r="Q220" s="361">
        <f t="shared" si="36"/>
        <v>-8559</v>
      </c>
    </row>
    <row r="221" spans="1:17" s="750" customFormat="1" ht="15" customHeight="1">
      <c r="A221" s="2058"/>
      <c r="B221" s="2068"/>
      <c r="C221" s="2029"/>
      <c r="D221" s="409" t="s">
        <v>835</v>
      </c>
      <c r="E221" s="394"/>
      <c r="F221" s="394"/>
      <c r="G221" s="375"/>
      <c r="H221" s="375"/>
      <c r="I221" s="375"/>
      <c r="J221" s="375"/>
      <c r="K221" s="371"/>
      <c r="L221" s="371"/>
      <c r="M221" s="580">
        <v>11308</v>
      </c>
      <c r="N221" s="394">
        <v>876</v>
      </c>
      <c r="O221" s="394"/>
      <c r="P221" s="567"/>
      <c r="Q221" s="361">
        <f t="shared" si="36"/>
        <v>12184</v>
      </c>
    </row>
    <row r="222" spans="1:17" s="750" customFormat="1" ht="15" customHeight="1">
      <c r="A222" s="2058"/>
      <c r="B222" s="2068"/>
      <c r="C222" s="2029"/>
      <c r="D222" s="409" t="s">
        <v>740</v>
      </c>
      <c r="E222" s="394"/>
      <c r="F222" s="394"/>
      <c r="G222" s="375"/>
      <c r="H222" s="375"/>
      <c r="I222" s="375"/>
      <c r="J222" s="375"/>
      <c r="K222" s="371"/>
      <c r="L222" s="371"/>
      <c r="M222" s="580"/>
      <c r="N222" s="394"/>
      <c r="O222" s="394">
        <v>-246</v>
      </c>
      <c r="P222" s="567">
        <v>-16896</v>
      </c>
      <c r="Q222" s="361">
        <f t="shared" si="36"/>
        <v>-17142</v>
      </c>
    </row>
    <row r="223" spans="1:17" s="750" customFormat="1" ht="15" customHeight="1">
      <c r="A223" s="2058"/>
      <c r="B223" s="2068"/>
      <c r="C223" s="2029"/>
      <c r="D223" s="409" t="s">
        <v>456</v>
      </c>
      <c r="E223" s="394"/>
      <c r="F223" s="394"/>
      <c r="G223" s="375"/>
      <c r="H223" s="375"/>
      <c r="I223" s="375"/>
      <c r="J223" s="375"/>
      <c r="K223" s="375"/>
      <c r="L223" s="375"/>
      <c r="M223" s="581"/>
      <c r="N223" s="394"/>
      <c r="O223" s="394"/>
      <c r="P223" s="567"/>
      <c r="Q223" s="361">
        <f t="shared" si="36"/>
        <v>0</v>
      </c>
    </row>
    <row r="224" spans="1:17" s="750" customFormat="1" ht="15" customHeight="1">
      <c r="A224" s="2058"/>
      <c r="B224" s="2068"/>
      <c r="C224" s="2029"/>
      <c r="D224" s="409" t="s">
        <v>838</v>
      </c>
      <c r="E224" s="394"/>
      <c r="F224" s="394">
        <v>-19710</v>
      </c>
      <c r="G224" s="375"/>
      <c r="H224" s="375"/>
      <c r="I224" s="375"/>
      <c r="J224" s="375"/>
      <c r="K224" s="375"/>
      <c r="L224" s="394"/>
      <c r="M224" s="581"/>
      <c r="N224" s="394">
        <v>-665</v>
      </c>
      <c r="O224" s="394"/>
      <c r="P224" s="567"/>
      <c r="Q224" s="361">
        <f t="shared" si="36"/>
        <v>-20375</v>
      </c>
    </row>
    <row r="225" spans="1:17" s="750" customFormat="1" ht="15" customHeight="1">
      <c r="A225" s="2058"/>
      <c r="B225" s="2068"/>
      <c r="C225" s="2029"/>
      <c r="D225" s="409" t="s">
        <v>448</v>
      </c>
      <c r="E225" s="394"/>
      <c r="F225" s="394"/>
      <c r="G225" s="375"/>
      <c r="H225" s="375"/>
      <c r="I225" s="375"/>
      <c r="J225" s="375"/>
      <c r="K225" s="375"/>
      <c r="L225" s="394"/>
      <c r="M225" s="581"/>
      <c r="N225" s="394"/>
      <c r="O225" s="394"/>
      <c r="P225" s="567">
        <v>10188</v>
      </c>
      <c r="Q225" s="361">
        <f t="shared" si="36"/>
        <v>10188</v>
      </c>
    </row>
    <row r="226" spans="1:17" s="750" customFormat="1" ht="15" customHeight="1">
      <c r="A226" s="2058"/>
      <c r="B226" s="2068"/>
      <c r="C226" s="2029"/>
      <c r="D226" s="409" t="s">
        <v>1148</v>
      </c>
      <c r="E226" s="394"/>
      <c r="F226" s="394"/>
      <c r="G226" s="375"/>
      <c r="H226" s="375"/>
      <c r="I226" s="375"/>
      <c r="J226" s="375"/>
      <c r="K226" s="375"/>
      <c r="L226" s="394"/>
      <c r="M226" s="581"/>
      <c r="N226" s="394"/>
      <c r="O226" s="394">
        <v>-44072</v>
      </c>
      <c r="P226" s="567">
        <v>-15840</v>
      </c>
      <c r="Q226" s="361">
        <f t="shared" si="36"/>
        <v>-59912</v>
      </c>
    </row>
    <row r="227" spans="1:17" s="750" customFormat="1" ht="15" customHeight="1">
      <c r="A227" s="2058"/>
      <c r="B227" s="2068"/>
      <c r="C227" s="2029"/>
      <c r="D227" s="409" t="s">
        <v>839</v>
      </c>
      <c r="E227" s="394">
        <v>16368</v>
      </c>
      <c r="F227" s="394"/>
      <c r="G227" s="375">
        <v>880</v>
      </c>
      <c r="H227" s="375">
        <v>3269</v>
      </c>
      <c r="I227" s="375"/>
      <c r="J227" s="375"/>
      <c r="K227" s="375"/>
      <c r="L227" s="394"/>
      <c r="M227" s="581"/>
      <c r="N227" s="394"/>
      <c r="O227" s="394"/>
      <c r="P227" s="567"/>
      <c r="Q227" s="361">
        <f t="shared" si="36"/>
        <v>20517</v>
      </c>
    </row>
    <row r="228" spans="1:17" s="750" customFormat="1" ht="15" customHeight="1">
      <c r="A228" s="2058"/>
      <c r="B228" s="2068"/>
      <c r="C228" s="2029"/>
      <c r="D228" s="409" t="s">
        <v>449</v>
      </c>
      <c r="E228" s="394">
        <v>352</v>
      </c>
      <c r="F228" s="375">
        <v>1110</v>
      </c>
      <c r="G228" s="375">
        <v>40</v>
      </c>
      <c r="H228" s="375">
        <v>7810</v>
      </c>
      <c r="I228" s="375"/>
      <c r="J228" s="375"/>
      <c r="K228" s="375">
        <v>6396</v>
      </c>
      <c r="L228" s="394">
        <v>35</v>
      </c>
      <c r="M228" s="581"/>
      <c r="N228" s="394"/>
      <c r="O228" s="394">
        <v>11841</v>
      </c>
      <c r="P228" s="567">
        <v>23645</v>
      </c>
      <c r="Q228" s="361">
        <f t="shared" si="36"/>
        <v>51229</v>
      </c>
    </row>
    <row r="229" spans="1:18" s="751" customFormat="1" ht="15" customHeight="1" thickBot="1">
      <c r="A229" s="2059"/>
      <c r="B229" s="2069"/>
      <c r="C229" s="2031"/>
      <c r="D229" s="423" t="s">
        <v>446</v>
      </c>
      <c r="E229" s="430">
        <f aca="true" t="shared" si="37" ref="E229:Q229">SUM(E218:E228)</f>
        <v>48982</v>
      </c>
      <c r="F229" s="413">
        <f t="shared" si="37"/>
        <v>23349</v>
      </c>
      <c r="G229" s="413">
        <f t="shared" si="37"/>
        <v>34096.749999999985</v>
      </c>
      <c r="H229" s="413">
        <f t="shared" si="37"/>
        <v>47492.47999999999</v>
      </c>
      <c r="I229" s="413">
        <f t="shared" si="37"/>
        <v>43028.96</v>
      </c>
      <c r="J229" s="413">
        <f t="shared" si="37"/>
        <v>18334.63</v>
      </c>
      <c r="K229" s="413">
        <f t="shared" si="37"/>
        <v>13697.2</v>
      </c>
      <c r="L229" s="413">
        <f t="shared" si="37"/>
        <v>12620.4</v>
      </c>
      <c r="M229" s="413">
        <f t="shared" si="37"/>
        <v>12095.2</v>
      </c>
      <c r="N229" s="413">
        <f t="shared" si="37"/>
        <v>13174.4</v>
      </c>
      <c r="O229" s="413">
        <f t="shared" si="37"/>
        <v>26783.60000000002</v>
      </c>
      <c r="P229" s="571">
        <f t="shared" si="37"/>
        <v>54296.9</v>
      </c>
      <c r="Q229" s="431">
        <f t="shared" si="37"/>
        <v>347951.52</v>
      </c>
      <c r="R229" s="753">
        <f>Q215-Q217+Q229+Q211</f>
        <v>0</v>
      </c>
    </row>
    <row r="230" spans="1:17" s="752" customFormat="1" ht="4.5" customHeight="1" thickBot="1">
      <c r="A230" s="1162"/>
      <c r="B230" s="1165"/>
      <c r="C230" s="1163"/>
      <c r="D230" s="425"/>
      <c r="E230" s="385"/>
      <c r="F230" s="383"/>
      <c r="G230" s="383"/>
      <c r="H230" s="383"/>
      <c r="I230" s="435"/>
      <c r="J230" s="435"/>
      <c r="K230" s="558"/>
      <c r="L230" s="564"/>
      <c r="M230" s="1002"/>
      <c r="N230" s="384"/>
      <c r="O230" s="383"/>
      <c r="P230" s="558"/>
      <c r="Q230" s="386"/>
    </row>
    <row r="231" spans="1:17" s="750" customFormat="1" ht="15" customHeight="1">
      <c r="A231" s="2057">
        <v>10</v>
      </c>
      <c r="B231" s="2035" t="s">
        <v>655</v>
      </c>
      <c r="C231" s="2028" t="s">
        <v>435</v>
      </c>
      <c r="D231" s="415" t="s">
        <v>436</v>
      </c>
      <c r="E231" s="435">
        <v>-5315</v>
      </c>
      <c r="F231" s="435">
        <v>-1701</v>
      </c>
      <c r="G231" s="435">
        <v>-16083</v>
      </c>
      <c r="H231" s="435">
        <v>-674</v>
      </c>
      <c r="I231" s="435">
        <v>-662</v>
      </c>
      <c r="J231" s="435">
        <v>-9814</v>
      </c>
      <c r="K231" s="435">
        <v>-951</v>
      </c>
      <c r="L231" s="442">
        <v>0</v>
      </c>
      <c r="M231" s="442">
        <v>0</v>
      </c>
      <c r="N231" s="442">
        <v>0</v>
      </c>
      <c r="O231" s="435">
        <v>0</v>
      </c>
      <c r="P231" s="574">
        <v>0</v>
      </c>
      <c r="Q231" s="390">
        <f>SUM(E231:P231)</f>
        <v>-35200</v>
      </c>
    </row>
    <row r="232" spans="1:17" s="750" customFormat="1" ht="15" customHeight="1">
      <c r="A232" s="2058"/>
      <c r="B232" s="2036"/>
      <c r="C232" s="2029"/>
      <c r="D232" s="426" t="s">
        <v>825</v>
      </c>
      <c r="E232" s="438">
        <v>0</v>
      </c>
      <c r="F232" s="438">
        <v>0</v>
      </c>
      <c r="G232" s="438">
        <v>0</v>
      </c>
      <c r="H232" s="438">
        <v>0</v>
      </c>
      <c r="I232" s="438">
        <v>0</v>
      </c>
      <c r="J232" s="438">
        <v>0</v>
      </c>
      <c r="K232" s="438">
        <v>0</v>
      </c>
      <c r="L232" s="442">
        <v>0</v>
      </c>
      <c r="M232" s="442">
        <v>0</v>
      </c>
      <c r="N232" s="442">
        <v>0</v>
      </c>
      <c r="O232" s="442">
        <v>0</v>
      </c>
      <c r="P232" s="575">
        <v>0</v>
      </c>
      <c r="Q232" s="359">
        <f>SUM(E232:P232)</f>
        <v>0</v>
      </c>
    </row>
    <row r="233" spans="1:17" s="750" customFormat="1" ht="15" customHeight="1">
      <c r="A233" s="2058"/>
      <c r="B233" s="2036"/>
      <c r="C233" s="2029"/>
      <c r="D233" s="426" t="s">
        <v>437</v>
      </c>
      <c r="E233" s="438">
        <v>-13619</v>
      </c>
      <c r="F233" s="438">
        <v>-10962</v>
      </c>
      <c r="G233" s="438">
        <v>-383</v>
      </c>
      <c r="H233" s="438">
        <v>-4160</v>
      </c>
      <c r="I233" s="438">
        <v>-5249</v>
      </c>
      <c r="J233" s="438">
        <v>-1807</v>
      </c>
      <c r="K233" s="438">
        <v>0</v>
      </c>
      <c r="L233" s="442">
        <v>0</v>
      </c>
      <c r="M233" s="442">
        <v>0</v>
      </c>
      <c r="N233" s="442">
        <v>0</v>
      </c>
      <c r="O233" s="442">
        <v>0</v>
      </c>
      <c r="P233" s="575">
        <v>0</v>
      </c>
      <c r="Q233" s="361">
        <f>SUM(E233:P233)</f>
        <v>-36180</v>
      </c>
    </row>
    <row r="234" spans="1:17" s="750" customFormat="1" ht="15" customHeight="1">
      <c r="A234" s="2058"/>
      <c r="B234" s="2036"/>
      <c r="C234" s="2029"/>
      <c r="D234" s="410" t="s">
        <v>438</v>
      </c>
      <c r="E234" s="443">
        <f>SUM(E231:E233)</f>
        <v>-18934</v>
      </c>
      <c r="F234" s="443">
        <f>SUM(F231:F233)</f>
        <v>-12663</v>
      </c>
      <c r="G234" s="444">
        <f aca="true" t="shared" si="38" ref="G234:P234">SUM(G231:G233)</f>
        <v>-16466</v>
      </c>
      <c r="H234" s="445">
        <f t="shared" si="38"/>
        <v>-4834</v>
      </c>
      <c r="I234" s="445">
        <f t="shared" si="38"/>
        <v>-5911</v>
      </c>
      <c r="J234" s="445">
        <f t="shared" si="38"/>
        <v>-11621</v>
      </c>
      <c r="K234" s="445">
        <f t="shared" si="38"/>
        <v>-951</v>
      </c>
      <c r="L234" s="576">
        <f t="shared" si="38"/>
        <v>0</v>
      </c>
      <c r="M234" s="576">
        <f t="shared" si="38"/>
        <v>0</v>
      </c>
      <c r="N234" s="576">
        <f t="shared" si="38"/>
        <v>0</v>
      </c>
      <c r="O234" s="576">
        <f t="shared" si="38"/>
        <v>0</v>
      </c>
      <c r="P234" s="577">
        <f t="shared" si="38"/>
        <v>0</v>
      </c>
      <c r="Q234" s="366">
        <f>SUM(Q231:Q233)</f>
        <v>-71380</v>
      </c>
    </row>
    <row r="235" spans="1:17" s="750" customFormat="1" ht="15" customHeight="1">
      <c r="A235" s="2058"/>
      <c r="B235" s="2036"/>
      <c r="C235" s="2029"/>
      <c r="D235" s="426" t="s">
        <v>439</v>
      </c>
      <c r="E235" s="438">
        <v>13619</v>
      </c>
      <c r="F235" s="438">
        <v>10962</v>
      </c>
      <c r="G235" s="438">
        <v>538</v>
      </c>
      <c r="H235" s="442">
        <v>4140</v>
      </c>
      <c r="I235" s="442">
        <v>5249</v>
      </c>
      <c r="J235" s="442">
        <v>1807</v>
      </c>
      <c r="K235" s="442">
        <v>0</v>
      </c>
      <c r="L235" s="442">
        <v>0</v>
      </c>
      <c r="M235" s="442">
        <v>0</v>
      </c>
      <c r="N235" s="442">
        <v>0</v>
      </c>
      <c r="O235" s="442">
        <v>0</v>
      </c>
      <c r="P235" s="575">
        <v>0</v>
      </c>
      <c r="Q235" s="361">
        <f>SUM(E235:P235)</f>
        <v>36315</v>
      </c>
    </row>
    <row r="236" spans="1:17" s="750" customFormat="1" ht="15" customHeight="1">
      <c r="A236" s="2058"/>
      <c r="B236" s="2036"/>
      <c r="C236" s="2029"/>
      <c r="D236" s="426" t="s">
        <v>826</v>
      </c>
      <c r="E236" s="438">
        <v>0</v>
      </c>
      <c r="F236" s="438">
        <v>0</v>
      </c>
      <c r="G236" s="438">
        <v>0</v>
      </c>
      <c r="H236" s="438">
        <v>0</v>
      </c>
      <c r="I236" s="438">
        <v>0</v>
      </c>
      <c r="J236" s="438">
        <v>0</v>
      </c>
      <c r="K236" s="438">
        <v>0</v>
      </c>
      <c r="L236" s="442">
        <v>0</v>
      </c>
      <c r="M236" s="442">
        <v>0</v>
      </c>
      <c r="N236" s="442">
        <v>0</v>
      </c>
      <c r="O236" s="442">
        <v>0</v>
      </c>
      <c r="P236" s="575">
        <v>0</v>
      </c>
      <c r="Q236" s="361">
        <f>SUM(E236:P236)</f>
        <v>0</v>
      </c>
    </row>
    <row r="237" spans="1:17" s="750" customFormat="1" ht="15" customHeight="1">
      <c r="A237" s="2058"/>
      <c r="B237" s="2036"/>
      <c r="C237" s="2029"/>
      <c r="D237" s="426" t="s">
        <v>440</v>
      </c>
      <c r="E237" s="438">
        <v>5315</v>
      </c>
      <c r="F237" s="438">
        <v>1701</v>
      </c>
      <c r="G237" s="438">
        <v>15928</v>
      </c>
      <c r="H237" s="438">
        <v>694</v>
      </c>
      <c r="I237" s="438">
        <v>662</v>
      </c>
      <c r="J237" s="438">
        <v>9814</v>
      </c>
      <c r="K237" s="438">
        <v>951</v>
      </c>
      <c r="L237" s="442">
        <v>0</v>
      </c>
      <c r="M237" s="442">
        <v>0</v>
      </c>
      <c r="N237" s="442">
        <v>0</v>
      </c>
      <c r="O237" s="442">
        <v>0</v>
      </c>
      <c r="P237" s="575">
        <v>0</v>
      </c>
      <c r="Q237" s="361">
        <f>SUM(E237:P237)</f>
        <v>35065</v>
      </c>
    </row>
    <row r="238" spans="1:17" s="750" customFormat="1" ht="15" customHeight="1">
      <c r="A238" s="2058"/>
      <c r="B238" s="2036"/>
      <c r="C238" s="2030"/>
      <c r="D238" s="410" t="s">
        <v>441</v>
      </c>
      <c r="E238" s="444">
        <f aca="true" t="shared" si="39" ref="E238:P238">SUM(E235:E237)</f>
        <v>18934</v>
      </c>
      <c r="F238" s="444">
        <f t="shared" si="39"/>
        <v>12663</v>
      </c>
      <c r="G238" s="444">
        <f t="shared" si="39"/>
        <v>16466</v>
      </c>
      <c r="H238" s="444">
        <f t="shared" si="39"/>
        <v>4834</v>
      </c>
      <c r="I238" s="444">
        <f t="shared" si="39"/>
        <v>5911</v>
      </c>
      <c r="J238" s="444">
        <f t="shared" si="39"/>
        <v>11621</v>
      </c>
      <c r="K238" s="444">
        <f t="shared" si="39"/>
        <v>951</v>
      </c>
      <c r="L238" s="576">
        <f t="shared" si="39"/>
        <v>0</v>
      </c>
      <c r="M238" s="576">
        <f t="shared" si="39"/>
        <v>0</v>
      </c>
      <c r="N238" s="576">
        <f t="shared" si="39"/>
        <v>0</v>
      </c>
      <c r="O238" s="576">
        <f t="shared" si="39"/>
        <v>0</v>
      </c>
      <c r="P238" s="577">
        <f t="shared" si="39"/>
        <v>0</v>
      </c>
      <c r="Q238" s="366">
        <f>SUM(Q235:Q237)</f>
        <v>71380</v>
      </c>
    </row>
    <row r="239" spans="1:17" s="750" customFormat="1" ht="15" customHeight="1">
      <c r="A239" s="2058"/>
      <c r="B239" s="2036"/>
      <c r="C239" s="2060" t="s">
        <v>444</v>
      </c>
      <c r="D239" s="409" t="s">
        <v>736</v>
      </c>
      <c r="E239" s="375"/>
      <c r="F239" s="375"/>
      <c r="G239" s="375"/>
      <c r="H239" s="375"/>
      <c r="I239" s="375"/>
      <c r="J239" s="375"/>
      <c r="K239" s="375"/>
      <c r="L239" s="375"/>
      <c r="M239" s="375"/>
      <c r="N239" s="375"/>
      <c r="O239" s="375"/>
      <c r="P239" s="579"/>
      <c r="Q239" s="361">
        <f>SUM(E239:P239)</f>
        <v>0</v>
      </c>
    </row>
    <row r="240" spans="1:17" s="750" customFormat="1" ht="15" customHeight="1">
      <c r="A240" s="2058"/>
      <c r="B240" s="2036"/>
      <c r="C240" s="2029"/>
      <c r="D240" s="409" t="s">
        <v>737</v>
      </c>
      <c r="E240" s="394"/>
      <c r="F240" s="394"/>
      <c r="G240" s="375"/>
      <c r="H240" s="375"/>
      <c r="I240" s="375"/>
      <c r="J240" s="375"/>
      <c r="K240" s="375"/>
      <c r="L240" s="375"/>
      <c r="M240" s="394"/>
      <c r="N240" s="394"/>
      <c r="O240" s="394"/>
      <c r="P240" s="567"/>
      <c r="Q240" s="361">
        <f>SUM(E240:P240)</f>
        <v>0</v>
      </c>
    </row>
    <row r="241" spans="1:18" s="751" customFormat="1" ht="15" customHeight="1" thickBot="1">
      <c r="A241" s="2059"/>
      <c r="B241" s="2038"/>
      <c r="C241" s="2031"/>
      <c r="D241" s="423" t="s">
        <v>446</v>
      </c>
      <c r="E241" s="430">
        <f aca="true" t="shared" si="40" ref="E241:Q241">SUM(E239:E240)</f>
        <v>0</v>
      </c>
      <c r="F241" s="430">
        <f t="shared" si="40"/>
        <v>0</v>
      </c>
      <c r="G241" s="413">
        <f t="shared" si="40"/>
        <v>0</v>
      </c>
      <c r="H241" s="413">
        <f t="shared" si="40"/>
        <v>0</v>
      </c>
      <c r="I241" s="413">
        <f t="shared" si="40"/>
        <v>0</v>
      </c>
      <c r="J241" s="413">
        <f t="shared" si="40"/>
        <v>0</v>
      </c>
      <c r="K241" s="413">
        <f t="shared" si="40"/>
        <v>0</v>
      </c>
      <c r="L241" s="413">
        <f t="shared" si="40"/>
        <v>0</v>
      </c>
      <c r="M241" s="413">
        <f t="shared" si="40"/>
        <v>0</v>
      </c>
      <c r="N241" s="413">
        <f t="shared" si="40"/>
        <v>0</v>
      </c>
      <c r="O241" s="413">
        <f t="shared" si="40"/>
        <v>0</v>
      </c>
      <c r="P241" s="571">
        <f t="shared" si="40"/>
        <v>0</v>
      </c>
      <c r="Q241" s="431">
        <f t="shared" si="40"/>
        <v>0</v>
      </c>
      <c r="R241" s="753">
        <f>Q234+Q238+Q241</f>
        <v>0</v>
      </c>
    </row>
    <row r="242" spans="1:17" s="752" customFormat="1" ht="4.5" customHeight="1" thickBot="1">
      <c r="A242" s="1162"/>
      <c r="B242" s="1165"/>
      <c r="C242" s="1163"/>
      <c r="D242" s="425"/>
      <c r="E242" s="385"/>
      <c r="F242" s="383"/>
      <c r="G242" s="383"/>
      <c r="H242" s="383"/>
      <c r="I242" s="435"/>
      <c r="J242" s="435"/>
      <c r="K242" s="558"/>
      <c r="L242" s="564"/>
      <c r="M242" s="385"/>
      <c r="N242" s="383"/>
      <c r="O242" s="383"/>
      <c r="P242" s="558"/>
      <c r="Q242" s="386"/>
    </row>
    <row r="243" spans="1:17" s="750" customFormat="1" ht="15" customHeight="1">
      <c r="A243" s="2057">
        <v>11</v>
      </c>
      <c r="B243" s="2035" t="s">
        <v>656</v>
      </c>
      <c r="C243" s="2028" t="s">
        <v>435</v>
      </c>
      <c r="D243" s="415" t="s">
        <v>436</v>
      </c>
      <c r="E243" s="435">
        <v>0</v>
      </c>
      <c r="F243" s="435">
        <v>0</v>
      </c>
      <c r="G243" s="435">
        <v>0</v>
      </c>
      <c r="H243" s="435">
        <v>0</v>
      </c>
      <c r="I243" s="435">
        <v>0</v>
      </c>
      <c r="J243" s="435">
        <v>-438</v>
      </c>
      <c r="K243" s="435">
        <v>0</v>
      </c>
      <c r="L243" s="435">
        <v>0</v>
      </c>
      <c r="M243" s="435"/>
      <c r="N243" s="573">
        <v>0</v>
      </c>
      <c r="O243" s="573">
        <v>0</v>
      </c>
      <c r="P243" s="574">
        <v>0</v>
      </c>
      <c r="Q243" s="390">
        <f>SUM(E243:P243)</f>
        <v>-438</v>
      </c>
    </row>
    <row r="244" spans="1:17" s="750" customFormat="1" ht="15" customHeight="1">
      <c r="A244" s="2058"/>
      <c r="B244" s="2036"/>
      <c r="C244" s="2029"/>
      <c r="D244" s="426" t="s">
        <v>825</v>
      </c>
      <c r="E244" s="438">
        <v>-290</v>
      </c>
      <c r="F244" s="438">
        <v>0</v>
      </c>
      <c r="G244" s="438">
        <v>0</v>
      </c>
      <c r="H244" s="438">
        <v>-1372</v>
      </c>
      <c r="I244" s="438">
        <v>-614</v>
      </c>
      <c r="J244" s="438">
        <v>0</v>
      </c>
      <c r="K244" s="438">
        <v>0</v>
      </c>
      <c r="L244" s="442">
        <v>0</v>
      </c>
      <c r="M244" s="442"/>
      <c r="N244" s="438">
        <v>-2465</v>
      </c>
      <c r="O244" s="438">
        <v>-3698</v>
      </c>
      <c r="P244" s="575">
        <v>-1084</v>
      </c>
      <c r="Q244" s="359">
        <f>SUM(E244:P244)</f>
        <v>-9523</v>
      </c>
    </row>
    <row r="245" spans="1:17" s="750" customFormat="1" ht="15" customHeight="1">
      <c r="A245" s="2058"/>
      <c r="B245" s="2036"/>
      <c r="C245" s="2029"/>
      <c r="D245" s="426" t="s">
        <v>437</v>
      </c>
      <c r="E245" s="438">
        <v>-1275</v>
      </c>
      <c r="F245" s="438">
        <v>-3549</v>
      </c>
      <c r="G245" s="438">
        <v>-240</v>
      </c>
      <c r="H245" s="438">
        <v>-2444</v>
      </c>
      <c r="I245" s="438">
        <v>-6248</v>
      </c>
      <c r="J245" s="438">
        <v>-1128</v>
      </c>
      <c r="K245" s="438">
        <v>-1189</v>
      </c>
      <c r="L245" s="442">
        <v>0</v>
      </c>
      <c r="M245" s="442"/>
      <c r="N245" s="442">
        <v>0</v>
      </c>
      <c r="O245" s="442">
        <v>-145</v>
      </c>
      <c r="P245" s="575">
        <v>-3403</v>
      </c>
      <c r="Q245" s="361">
        <f>SUM(E245:P245)</f>
        <v>-19621</v>
      </c>
    </row>
    <row r="246" spans="1:17" s="750" customFormat="1" ht="15" customHeight="1">
      <c r="A246" s="2058"/>
      <c r="B246" s="2036"/>
      <c r="C246" s="2029"/>
      <c r="D246" s="410" t="s">
        <v>438</v>
      </c>
      <c r="E246" s="443">
        <f>SUM(E243:E245)</f>
        <v>-1565</v>
      </c>
      <c r="F246" s="443">
        <f>SUM(F243:F245)</f>
        <v>-3549</v>
      </c>
      <c r="G246" s="444">
        <f aca="true" t="shared" si="41" ref="G246:P246">SUM(G243:G245)</f>
        <v>-240</v>
      </c>
      <c r="H246" s="445">
        <f t="shared" si="41"/>
        <v>-3816</v>
      </c>
      <c r="I246" s="445">
        <f t="shared" si="41"/>
        <v>-6862</v>
      </c>
      <c r="J246" s="445">
        <f t="shared" si="41"/>
        <v>-1566</v>
      </c>
      <c r="K246" s="445">
        <f t="shared" si="41"/>
        <v>-1189</v>
      </c>
      <c r="L246" s="576">
        <f t="shared" si="41"/>
        <v>0</v>
      </c>
      <c r="M246" s="576">
        <f t="shared" si="41"/>
        <v>0</v>
      </c>
      <c r="N246" s="576">
        <f t="shared" si="41"/>
        <v>-2465</v>
      </c>
      <c r="O246" s="576">
        <f t="shared" si="41"/>
        <v>-3843</v>
      </c>
      <c r="P246" s="577">
        <f t="shared" si="41"/>
        <v>-4487</v>
      </c>
      <c r="Q246" s="366">
        <f>SUM(Q243:Q245)</f>
        <v>-29582</v>
      </c>
    </row>
    <row r="247" spans="1:17" s="750" customFormat="1" ht="15" customHeight="1">
      <c r="A247" s="2058"/>
      <c r="B247" s="2036"/>
      <c r="C247" s="2029"/>
      <c r="D247" s="426" t="s">
        <v>439</v>
      </c>
      <c r="E247" s="438">
        <v>1565</v>
      </c>
      <c r="F247" s="438">
        <v>3549</v>
      </c>
      <c r="G247" s="438">
        <v>240</v>
      </c>
      <c r="H247" s="442">
        <v>3816</v>
      </c>
      <c r="I247" s="442">
        <v>6862</v>
      </c>
      <c r="J247" s="442">
        <v>1128</v>
      </c>
      <c r="K247" s="442">
        <v>1189</v>
      </c>
      <c r="L247" s="442">
        <v>0</v>
      </c>
      <c r="M247" s="442"/>
      <c r="N247" s="442">
        <v>2465</v>
      </c>
      <c r="O247" s="442">
        <v>3843</v>
      </c>
      <c r="P247" s="575">
        <v>4487</v>
      </c>
      <c r="Q247" s="361">
        <f>SUM(E247:P247)</f>
        <v>29144</v>
      </c>
    </row>
    <row r="248" spans="1:17" s="750" customFormat="1" ht="15" customHeight="1">
      <c r="A248" s="2058"/>
      <c r="B248" s="2036"/>
      <c r="C248" s="2029"/>
      <c r="D248" s="426" t="s">
        <v>826</v>
      </c>
      <c r="E248" s="438">
        <v>0</v>
      </c>
      <c r="F248" s="438">
        <v>0</v>
      </c>
      <c r="G248" s="438">
        <v>0</v>
      </c>
      <c r="H248" s="438">
        <v>0</v>
      </c>
      <c r="I248" s="438">
        <v>0</v>
      </c>
      <c r="J248" s="438">
        <v>0</v>
      </c>
      <c r="K248" s="438">
        <v>0</v>
      </c>
      <c r="L248" s="442">
        <v>0</v>
      </c>
      <c r="M248" s="442"/>
      <c r="N248" s="442">
        <v>0</v>
      </c>
      <c r="O248" s="442">
        <v>0</v>
      </c>
      <c r="P248" s="575">
        <v>0</v>
      </c>
      <c r="Q248" s="361">
        <f>SUM(E248:P248)</f>
        <v>0</v>
      </c>
    </row>
    <row r="249" spans="1:17" s="750" customFormat="1" ht="15" customHeight="1">
      <c r="A249" s="2058"/>
      <c r="B249" s="2036"/>
      <c r="C249" s="2029"/>
      <c r="D249" s="426" t="s">
        <v>440</v>
      </c>
      <c r="E249" s="438">
        <v>0</v>
      </c>
      <c r="F249" s="438">
        <v>0</v>
      </c>
      <c r="G249" s="438">
        <v>0</v>
      </c>
      <c r="H249" s="438">
        <v>0</v>
      </c>
      <c r="I249" s="438">
        <v>0</v>
      </c>
      <c r="J249" s="438">
        <v>438</v>
      </c>
      <c r="K249" s="438">
        <v>0</v>
      </c>
      <c r="L249" s="442">
        <v>0</v>
      </c>
      <c r="M249" s="442"/>
      <c r="N249" s="442">
        <v>0</v>
      </c>
      <c r="O249" s="442">
        <v>0</v>
      </c>
      <c r="P249" s="575">
        <v>0</v>
      </c>
      <c r="Q249" s="361">
        <f>SUM(E249:P249)</f>
        <v>438</v>
      </c>
    </row>
    <row r="250" spans="1:17" s="750" customFormat="1" ht="15" customHeight="1">
      <c r="A250" s="2058"/>
      <c r="B250" s="2036"/>
      <c r="C250" s="2030"/>
      <c r="D250" s="410" t="s">
        <v>441</v>
      </c>
      <c r="E250" s="444">
        <f aca="true" t="shared" si="42" ref="E250:P250">SUM(E247:E249)</f>
        <v>1565</v>
      </c>
      <c r="F250" s="444">
        <f t="shared" si="42"/>
        <v>3549</v>
      </c>
      <c r="G250" s="444">
        <f t="shared" si="42"/>
        <v>240</v>
      </c>
      <c r="H250" s="444">
        <f t="shared" si="42"/>
        <v>3816</v>
      </c>
      <c r="I250" s="444">
        <f t="shared" si="42"/>
        <v>6862</v>
      </c>
      <c r="J250" s="444">
        <f t="shared" si="42"/>
        <v>1566</v>
      </c>
      <c r="K250" s="444">
        <f t="shared" si="42"/>
        <v>1189</v>
      </c>
      <c r="L250" s="576">
        <f t="shared" si="42"/>
        <v>0</v>
      </c>
      <c r="M250" s="576">
        <f t="shared" si="42"/>
        <v>0</v>
      </c>
      <c r="N250" s="576">
        <f t="shared" si="42"/>
        <v>2465</v>
      </c>
      <c r="O250" s="576">
        <f t="shared" si="42"/>
        <v>3843</v>
      </c>
      <c r="P250" s="577">
        <f t="shared" si="42"/>
        <v>4487</v>
      </c>
      <c r="Q250" s="366">
        <f>SUM(Q247:Q249)</f>
        <v>29582</v>
      </c>
    </row>
    <row r="251" spans="1:17" s="750" customFormat="1" ht="15" customHeight="1" hidden="1">
      <c r="A251" s="2058"/>
      <c r="B251" s="2036"/>
      <c r="C251" s="2060" t="s">
        <v>444</v>
      </c>
      <c r="D251" s="409" t="s">
        <v>840</v>
      </c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579"/>
      <c r="Q251" s="361">
        <f>SUM(E251:P251)</f>
        <v>0</v>
      </c>
    </row>
    <row r="252" spans="1:17" s="750" customFormat="1" ht="15" customHeight="1" hidden="1">
      <c r="A252" s="2058"/>
      <c r="B252" s="2036"/>
      <c r="C252" s="2029"/>
      <c r="D252" s="409" t="s">
        <v>455</v>
      </c>
      <c r="E252" s="394"/>
      <c r="F252" s="394"/>
      <c r="G252" s="375"/>
      <c r="H252" s="375"/>
      <c r="I252" s="375"/>
      <c r="J252" s="375"/>
      <c r="K252" s="375"/>
      <c r="L252" s="375"/>
      <c r="M252" s="394"/>
      <c r="N252" s="394"/>
      <c r="O252" s="394"/>
      <c r="P252" s="567"/>
      <c r="Q252" s="361">
        <f>SUM(E252:P252)</f>
        <v>0</v>
      </c>
    </row>
    <row r="253" spans="1:17" s="750" customFormat="1" ht="15" customHeight="1" hidden="1">
      <c r="A253" s="2058"/>
      <c r="B253" s="2036"/>
      <c r="C253" s="2029"/>
      <c r="D253" s="409" t="s">
        <v>841</v>
      </c>
      <c r="E253" s="394"/>
      <c r="F253" s="394"/>
      <c r="G253" s="375"/>
      <c r="H253" s="375"/>
      <c r="I253" s="375"/>
      <c r="J253" s="375"/>
      <c r="K253" s="375"/>
      <c r="L253" s="375"/>
      <c r="M253" s="394"/>
      <c r="N253" s="394"/>
      <c r="O253" s="394"/>
      <c r="P253" s="567"/>
      <c r="Q253" s="361">
        <f>SUM(E253:P253)</f>
        <v>0</v>
      </c>
    </row>
    <row r="254" spans="1:18" s="751" customFormat="1" ht="15" customHeight="1" thickBot="1">
      <c r="A254" s="2059"/>
      <c r="B254" s="2038"/>
      <c r="C254" s="2031"/>
      <c r="D254" s="423" t="s">
        <v>446</v>
      </c>
      <c r="E254" s="430">
        <f aca="true" t="shared" si="43" ref="E254:Q254">SUM(E251:E253)</f>
        <v>0</v>
      </c>
      <c r="F254" s="430">
        <f t="shared" si="43"/>
        <v>0</v>
      </c>
      <c r="G254" s="413">
        <f t="shared" si="43"/>
        <v>0</v>
      </c>
      <c r="H254" s="413">
        <f t="shared" si="43"/>
        <v>0</v>
      </c>
      <c r="I254" s="413">
        <f t="shared" si="43"/>
        <v>0</v>
      </c>
      <c r="J254" s="413">
        <f t="shared" si="43"/>
        <v>0</v>
      </c>
      <c r="K254" s="413">
        <f t="shared" si="43"/>
        <v>0</v>
      </c>
      <c r="L254" s="413">
        <f t="shared" si="43"/>
        <v>0</v>
      </c>
      <c r="M254" s="413">
        <f t="shared" si="43"/>
        <v>0</v>
      </c>
      <c r="N254" s="413">
        <f t="shared" si="43"/>
        <v>0</v>
      </c>
      <c r="O254" s="413">
        <f t="shared" si="43"/>
        <v>0</v>
      </c>
      <c r="P254" s="571">
        <f t="shared" si="43"/>
        <v>0</v>
      </c>
      <c r="Q254" s="431">
        <f t="shared" si="43"/>
        <v>0</v>
      </c>
      <c r="R254" s="753">
        <f>Q246+Q250+Q254</f>
        <v>0</v>
      </c>
    </row>
    <row r="255" spans="1:17" s="752" customFormat="1" ht="4.5" customHeight="1" thickBot="1">
      <c r="A255" s="1162"/>
      <c r="B255" s="1165"/>
      <c r="C255" s="1163"/>
      <c r="D255" s="425"/>
      <c r="E255" s="385"/>
      <c r="F255" s="383"/>
      <c r="G255" s="383"/>
      <c r="H255" s="383"/>
      <c r="I255" s="435"/>
      <c r="J255" s="435"/>
      <c r="K255" s="558"/>
      <c r="L255" s="564"/>
      <c r="M255" s="385"/>
      <c r="N255" s="383"/>
      <c r="O255" s="383"/>
      <c r="P255" s="558"/>
      <c r="Q255" s="386"/>
    </row>
    <row r="256" spans="1:17" s="750" customFormat="1" ht="15" customHeight="1">
      <c r="A256" s="2057">
        <v>12</v>
      </c>
      <c r="B256" s="2035" t="s">
        <v>500</v>
      </c>
      <c r="C256" s="2028" t="s">
        <v>435</v>
      </c>
      <c r="D256" s="415" t="s">
        <v>436</v>
      </c>
      <c r="E256" s="435">
        <v>-2606</v>
      </c>
      <c r="F256" s="435">
        <v>-2500</v>
      </c>
      <c r="G256" s="435">
        <v>-2422</v>
      </c>
      <c r="H256" s="435">
        <v>0</v>
      </c>
      <c r="I256" s="435">
        <v>-1886</v>
      </c>
      <c r="J256" s="435">
        <v>-8056</v>
      </c>
      <c r="K256" s="435">
        <v>-13585</v>
      </c>
      <c r="L256" s="435">
        <v>-18739</v>
      </c>
      <c r="M256" s="435">
        <v>-11557</v>
      </c>
      <c r="N256" s="573">
        <v>-2159</v>
      </c>
      <c r="O256" s="436">
        <v>-3870</v>
      </c>
      <c r="P256" s="574">
        <v>-6704</v>
      </c>
      <c r="Q256" s="390">
        <f>SUM(E256:P256)</f>
        <v>-74084</v>
      </c>
    </row>
    <row r="257" spans="1:17" s="750" customFormat="1" ht="15" customHeight="1">
      <c r="A257" s="2058"/>
      <c r="B257" s="2036"/>
      <c r="C257" s="2029"/>
      <c r="D257" s="426" t="s">
        <v>825</v>
      </c>
      <c r="E257" s="438">
        <v>-15165</v>
      </c>
      <c r="F257" s="438">
        <v>-21748</v>
      </c>
      <c r="G257" s="438">
        <v>-895</v>
      </c>
      <c r="H257" s="438">
        <v>-9875</v>
      </c>
      <c r="I257" s="438">
        <v>-7003</v>
      </c>
      <c r="J257" s="438">
        <v>-1642</v>
      </c>
      <c r="K257" s="438">
        <v>-240</v>
      </c>
      <c r="L257" s="438">
        <v>-287</v>
      </c>
      <c r="M257" s="442">
        <v>-1510</v>
      </c>
      <c r="N257" s="438">
        <v>-20886</v>
      </c>
      <c r="O257" s="362">
        <v>-13852</v>
      </c>
      <c r="P257" s="575">
        <v>-6839</v>
      </c>
      <c r="Q257" s="359">
        <f>SUM(E257:P257)</f>
        <v>-99942</v>
      </c>
    </row>
    <row r="258" spans="1:17" s="750" customFormat="1" ht="15" customHeight="1">
      <c r="A258" s="2058"/>
      <c r="B258" s="2036"/>
      <c r="C258" s="2029"/>
      <c r="D258" s="426" t="s">
        <v>437</v>
      </c>
      <c r="E258" s="438">
        <v>-9352</v>
      </c>
      <c r="F258" s="438">
        <v>-18283</v>
      </c>
      <c r="G258" s="438">
        <v>-2076</v>
      </c>
      <c r="H258" s="438">
        <v>-3063</v>
      </c>
      <c r="I258" s="438">
        <v>-5579</v>
      </c>
      <c r="J258" s="438">
        <v>-719</v>
      </c>
      <c r="K258" s="438">
        <v>-90</v>
      </c>
      <c r="L258" s="438">
        <v>-100</v>
      </c>
      <c r="M258" s="442">
        <v>-3991</v>
      </c>
      <c r="N258" s="442">
        <v>-33390</v>
      </c>
      <c r="O258" s="358">
        <v>-26632</v>
      </c>
      <c r="P258" s="575">
        <v>-13841</v>
      </c>
      <c r="Q258" s="361">
        <f>SUM(E258:P258)</f>
        <v>-117116</v>
      </c>
    </row>
    <row r="259" spans="1:17" s="750" customFormat="1" ht="15" customHeight="1">
      <c r="A259" s="2058"/>
      <c r="B259" s="2036"/>
      <c r="C259" s="2029"/>
      <c r="D259" s="410" t="s">
        <v>438</v>
      </c>
      <c r="E259" s="368">
        <f aca="true" t="shared" si="44" ref="E259:P259">SUM(E256:E258)</f>
        <v>-27123</v>
      </c>
      <c r="F259" s="368">
        <f t="shared" si="44"/>
        <v>-42531</v>
      </c>
      <c r="G259" s="368">
        <f t="shared" si="44"/>
        <v>-5393</v>
      </c>
      <c r="H259" s="368">
        <f t="shared" si="44"/>
        <v>-12938</v>
      </c>
      <c r="I259" s="368">
        <f t="shared" si="44"/>
        <v>-14468</v>
      </c>
      <c r="J259" s="582">
        <f t="shared" si="44"/>
        <v>-10417</v>
      </c>
      <c r="K259" s="368">
        <f t="shared" si="44"/>
        <v>-13915</v>
      </c>
      <c r="L259" s="368">
        <f t="shared" si="44"/>
        <v>-19126</v>
      </c>
      <c r="M259" s="365">
        <f t="shared" si="44"/>
        <v>-17058</v>
      </c>
      <c r="N259" s="365">
        <f t="shared" si="44"/>
        <v>-56435</v>
      </c>
      <c r="O259" s="365">
        <f t="shared" si="44"/>
        <v>-44354</v>
      </c>
      <c r="P259" s="561">
        <f t="shared" si="44"/>
        <v>-27384</v>
      </c>
      <c r="Q259" s="366">
        <f>SUM(Q256:Q258)</f>
        <v>-291142</v>
      </c>
    </row>
    <row r="260" spans="1:17" s="750" customFormat="1" ht="15" customHeight="1">
      <c r="A260" s="2058"/>
      <c r="B260" s="2036"/>
      <c r="C260" s="2029"/>
      <c r="D260" s="426" t="s">
        <v>439</v>
      </c>
      <c r="E260" s="447">
        <v>23391</v>
      </c>
      <c r="F260" s="438">
        <v>39667</v>
      </c>
      <c r="G260" s="438">
        <v>2706</v>
      </c>
      <c r="H260" s="442">
        <v>12778</v>
      </c>
      <c r="I260" s="442">
        <v>11265</v>
      </c>
      <c r="J260" s="438">
        <v>2359</v>
      </c>
      <c r="K260" s="442">
        <v>330</v>
      </c>
      <c r="L260" s="442">
        <v>100</v>
      </c>
      <c r="M260" s="442">
        <v>5501</v>
      </c>
      <c r="N260" s="442">
        <v>54186</v>
      </c>
      <c r="O260" s="442">
        <v>40484</v>
      </c>
      <c r="P260" s="575">
        <v>19861</v>
      </c>
      <c r="Q260" s="361">
        <f>SUM(E260:P260)</f>
        <v>212628</v>
      </c>
    </row>
    <row r="261" spans="1:17" s="750" customFormat="1" ht="15" customHeight="1">
      <c r="A261" s="2058"/>
      <c r="B261" s="2036"/>
      <c r="C261" s="2029"/>
      <c r="D261" s="426" t="s">
        <v>826</v>
      </c>
      <c r="E261" s="438">
        <v>962</v>
      </c>
      <c r="F261" s="438">
        <v>1534</v>
      </c>
      <c r="G261" s="438">
        <v>2330</v>
      </c>
      <c r="H261" s="438">
        <v>0</v>
      </c>
      <c r="I261" s="438">
        <v>360</v>
      </c>
      <c r="J261" s="438">
        <v>1410</v>
      </c>
      <c r="K261" s="438">
        <v>3042</v>
      </c>
      <c r="L261" s="438">
        <v>2352</v>
      </c>
      <c r="M261" s="442">
        <v>2118</v>
      </c>
      <c r="N261" s="442">
        <v>0</v>
      </c>
      <c r="O261" s="442">
        <v>629</v>
      </c>
      <c r="P261" s="575">
        <v>3000</v>
      </c>
      <c r="Q261" s="361">
        <f>SUM(E261:P261)</f>
        <v>17737</v>
      </c>
    </row>
    <row r="262" spans="1:17" s="750" customFormat="1" ht="15" customHeight="1">
      <c r="A262" s="2058"/>
      <c r="B262" s="2036"/>
      <c r="C262" s="2029"/>
      <c r="D262" s="426" t="s">
        <v>440</v>
      </c>
      <c r="E262" s="438">
        <v>2770</v>
      </c>
      <c r="F262" s="438">
        <v>1330</v>
      </c>
      <c r="G262" s="438">
        <v>357</v>
      </c>
      <c r="H262" s="438">
        <v>160</v>
      </c>
      <c r="I262" s="438">
        <v>2843</v>
      </c>
      <c r="J262" s="438">
        <v>6648</v>
      </c>
      <c r="K262" s="438">
        <v>10543</v>
      </c>
      <c r="L262" s="438">
        <v>16674</v>
      </c>
      <c r="M262" s="442">
        <v>9439</v>
      </c>
      <c r="N262" s="442">
        <v>2249</v>
      </c>
      <c r="O262" s="442">
        <v>3241</v>
      </c>
      <c r="P262" s="575">
        <v>4523</v>
      </c>
      <c r="Q262" s="361">
        <f>SUM(E262:P262)</f>
        <v>60777</v>
      </c>
    </row>
    <row r="263" spans="1:17" s="750" customFormat="1" ht="15" customHeight="1">
      <c r="A263" s="2058"/>
      <c r="B263" s="2036"/>
      <c r="C263" s="2030"/>
      <c r="D263" s="410" t="s">
        <v>441</v>
      </c>
      <c r="E263" s="368">
        <f aca="true" t="shared" si="45" ref="E263:P263">SUM(E260:E262)</f>
        <v>27123</v>
      </c>
      <c r="F263" s="368">
        <f t="shared" si="45"/>
        <v>42531</v>
      </c>
      <c r="G263" s="368">
        <f t="shared" si="45"/>
        <v>5393</v>
      </c>
      <c r="H263" s="368">
        <f t="shared" si="45"/>
        <v>12938</v>
      </c>
      <c r="I263" s="368">
        <f t="shared" si="45"/>
        <v>14468</v>
      </c>
      <c r="J263" s="368">
        <f t="shared" si="45"/>
        <v>10417</v>
      </c>
      <c r="K263" s="368">
        <f t="shared" si="45"/>
        <v>13915</v>
      </c>
      <c r="L263" s="368">
        <f t="shared" si="45"/>
        <v>19126</v>
      </c>
      <c r="M263" s="365">
        <f t="shared" si="45"/>
        <v>17058</v>
      </c>
      <c r="N263" s="365">
        <f t="shared" si="45"/>
        <v>56435</v>
      </c>
      <c r="O263" s="365">
        <f t="shared" si="45"/>
        <v>44354</v>
      </c>
      <c r="P263" s="561">
        <f t="shared" si="45"/>
        <v>27384</v>
      </c>
      <c r="Q263" s="366">
        <f>SUM(Q260:Q262)</f>
        <v>291142</v>
      </c>
    </row>
    <row r="264" spans="1:17" s="750" customFormat="1" ht="15" customHeight="1" hidden="1">
      <c r="A264" s="2058"/>
      <c r="B264" s="2036"/>
      <c r="C264" s="2060" t="s">
        <v>444</v>
      </c>
      <c r="D264" s="409" t="s">
        <v>733</v>
      </c>
      <c r="E264" s="394"/>
      <c r="F264" s="375"/>
      <c r="G264" s="375"/>
      <c r="H264" s="375"/>
      <c r="I264" s="375"/>
      <c r="J264" s="394"/>
      <c r="K264" s="375"/>
      <c r="L264" s="394"/>
      <c r="M264" s="394"/>
      <c r="N264" s="375"/>
      <c r="O264" s="375"/>
      <c r="P264" s="579"/>
      <c r="Q264" s="361">
        <f>SUM(E264:P264)</f>
        <v>0</v>
      </c>
    </row>
    <row r="265" spans="1:17" s="750" customFormat="1" ht="15" customHeight="1" hidden="1">
      <c r="A265" s="2058"/>
      <c r="B265" s="2036"/>
      <c r="C265" s="2029"/>
      <c r="D265" s="409" t="s">
        <v>543</v>
      </c>
      <c r="E265" s="394"/>
      <c r="F265" s="375"/>
      <c r="G265" s="375"/>
      <c r="H265" s="375"/>
      <c r="I265" s="375"/>
      <c r="J265" s="394"/>
      <c r="K265" s="375"/>
      <c r="L265" s="394"/>
      <c r="M265" s="394"/>
      <c r="N265" s="375"/>
      <c r="O265" s="375"/>
      <c r="P265" s="579"/>
      <c r="Q265" s="361">
        <f>SUM(E265:P265)</f>
        <v>0</v>
      </c>
    </row>
    <row r="266" spans="1:17" s="750" customFormat="1" ht="12.75" customHeight="1" hidden="1">
      <c r="A266" s="2058"/>
      <c r="B266" s="2036"/>
      <c r="C266" s="2029"/>
      <c r="D266" s="409" t="s">
        <v>499</v>
      </c>
      <c r="E266" s="394"/>
      <c r="F266" s="375"/>
      <c r="G266" s="375"/>
      <c r="H266" s="375"/>
      <c r="I266" s="375"/>
      <c r="J266" s="394"/>
      <c r="K266" s="375"/>
      <c r="L266" s="375"/>
      <c r="M266" s="394"/>
      <c r="N266" s="375"/>
      <c r="O266" s="375"/>
      <c r="P266" s="579"/>
      <c r="Q266" s="361">
        <f>SUM(E266:P266)</f>
        <v>0</v>
      </c>
    </row>
    <row r="267" spans="1:18" s="751" customFormat="1" ht="15" customHeight="1" thickBot="1">
      <c r="A267" s="2059"/>
      <c r="B267" s="2038"/>
      <c r="C267" s="2031"/>
      <c r="D267" s="410" t="s">
        <v>446</v>
      </c>
      <c r="E267" s="430">
        <f aca="true" t="shared" si="46" ref="E267:P267">SUM(E264:E266)</f>
        <v>0</v>
      </c>
      <c r="F267" s="430">
        <f t="shared" si="46"/>
        <v>0</v>
      </c>
      <c r="G267" s="413">
        <f t="shared" si="46"/>
        <v>0</v>
      </c>
      <c r="H267" s="413">
        <f t="shared" si="46"/>
        <v>0</v>
      </c>
      <c r="I267" s="413">
        <f t="shared" si="46"/>
        <v>0</v>
      </c>
      <c r="J267" s="413">
        <f t="shared" si="46"/>
        <v>0</v>
      </c>
      <c r="K267" s="413">
        <f t="shared" si="46"/>
        <v>0</v>
      </c>
      <c r="L267" s="413">
        <f t="shared" si="46"/>
        <v>0</v>
      </c>
      <c r="M267" s="413">
        <f t="shared" si="46"/>
        <v>0</v>
      </c>
      <c r="N267" s="413">
        <f t="shared" si="46"/>
        <v>0</v>
      </c>
      <c r="O267" s="413">
        <f t="shared" si="46"/>
        <v>0</v>
      </c>
      <c r="P267" s="571">
        <f t="shared" si="46"/>
        <v>0</v>
      </c>
      <c r="Q267" s="431">
        <f>SUM(Q264:Q266)</f>
        <v>0</v>
      </c>
      <c r="R267" s="753">
        <f>Q259+Q263+Q267</f>
        <v>0</v>
      </c>
    </row>
    <row r="268" spans="1:17" s="752" customFormat="1" ht="4.5" customHeight="1" thickBot="1">
      <c r="A268" s="1162"/>
      <c r="B268" s="1165"/>
      <c r="C268" s="448"/>
      <c r="D268" s="425"/>
      <c r="E268" s="385"/>
      <c r="F268" s="383"/>
      <c r="G268" s="383"/>
      <c r="H268" s="383"/>
      <c r="I268" s="435"/>
      <c r="J268" s="435"/>
      <c r="K268" s="558"/>
      <c r="L268" s="564"/>
      <c r="M268" s="385"/>
      <c r="N268" s="383"/>
      <c r="O268" s="383"/>
      <c r="P268" s="558"/>
      <c r="Q268" s="386"/>
    </row>
    <row r="269" spans="1:17" s="750" customFormat="1" ht="15" customHeight="1">
      <c r="A269" s="2057">
        <v>13</v>
      </c>
      <c r="B269" s="2035" t="s">
        <v>501</v>
      </c>
      <c r="C269" s="2028" t="s">
        <v>435</v>
      </c>
      <c r="D269" s="415" t="s">
        <v>436</v>
      </c>
      <c r="E269" s="435"/>
      <c r="F269" s="435"/>
      <c r="G269" s="435"/>
      <c r="H269" s="435"/>
      <c r="I269" s="435"/>
      <c r="J269" s="435"/>
      <c r="K269" s="435"/>
      <c r="L269" s="435"/>
      <c r="M269" s="435"/>
      <c r="N269" s="435"/>
      <c r="O269" s="435"/>
      <c r="P269" s="435"/>
      <c r="Q269" s="390">
        <f>SUM(E269:P269)</f>
        <v>0</v>
      </c>
    </row>
    <row r="270" spans="1:17" s="750" customFormat="1" ht="15" customHeight="1">
      <c r="A270" s="2058"/>
      <c r="B270" s="2036"/>
      <c r="C270" s="2029"/>
      <c r="D270" s="426" t="s">
        <v>825</v>
      </c>
      <c r="E270" s="438"/>
      <c r="F270" s="438"/>
      <c r="G270" s="438"/>
      <c r="H270" s="438"/>
      <c r="I270" s="438"/>
      <c r="J270" s="438"/>
      <c r="K270" s="438"/>
      <c r="L270" s="438"/>
      <c r="M270" s="438"/>
      <c r="N270" s="438"/>
      <c r="O270" s="438"/>
      <c r="P270" s="438"/>
      <c r="Q270" s="359">
        <f>SUM(E270:P270)</f>
        <v>0</v>
      </c>
    </row>
    <row r="271" spans="1:17" s="750" customFormat="1" ht="15" customHeight="1">
      <c r="A271" s="2058"/>
      <c r="B271" s="2036"/>
      <c r="C271" s="2029"/>
      <c r="D271" s="426" t="s">
        <v>437</v>
      </c>
      <c r="E271" s="438"/>
      <c r="F271" s="438"/>
      <c r="G271" s="438"/>
      <c r="H271" s="438"/>
      <c r="I271" s="438"/>
      <c r="J271" s="438"/>
      <c r="K271" s="438"/>
      <c r="L271" s="438"/>
      <c r="M271" s="438"/>
      <c r="N271" s="438"/>
      <c r="O271" s="438"/>
      <c r="P271" s="438"/>
      <c r="Q271" s="361">
        <f>SUM(E271:P271)</f>
        <v>0</v>
      </c>
    </row>
    <row r="272" spans="1:17" s="750" customFormat="1" ht="15" customHeight="1">
      <c r="A272" s="2058"/>
      <c r="B272" s="2036"/>
      <c r="C272" s="2029"/>
      <c r="D272" s="410" t="s">
        <v>438</v>
      </c>
      <c r="E272" s="449">
        <f>SUM(E269:E271)</f>
        <v>0</v>
      </c>
      <c r="F272" s="449">
        <f aca="true" t="shared" si="47" ref="F272:P272">SUM(F269:F271)</f>
        <v>0</v>
      </c>
      <c r="G272" s="449">
        <f t="shared" si="47"/>
        <v>0</v>
      </c>
      <c r="H272" s="368">
        <f t="shared" si="47"/>
        <v>0</v>
      </c>
      <c r="I272" s="449">
        <f t="shared" si="47"/>
        <v>0</v>
      </c>
      <c r="J272" s="449">
        <f t="shared" si="47"/>
        <v>0</v>
      </c>
      <c r="K272" s="368">
        <f t="shared" si="47"/>
        <v>0</v>
      </c>
      <c r="L272" s="368">
        <f t="shared" si="47"/>
        <v>0</v>
      </c>
      <c r="M272" s="368">
        <f t="shared" si="47"/>
        <v>0</v>
      </c>
      <c r="N272" s="368">
        <f t="shared" si="47"/>
        <v>0</v>
      </c>
      <c r="O272" s="368">
        <f t="shared" si="47"/>
        <v>0</v>
      </c>
      <c r="P272" s="368">
        <f t="shared" si="47"/>
        <v>0</v>
      </c>
      <c r="Q272" s="366">
        <f>SUM(Q269:Q271)</f>
        <v>0</v>
      </c>
    </row>
    <row r="273" spans="1:17" s="750" customFormat="1" ht="15" customHeight="1">
      <c r="A273" s="2058"/>
      <c r="B273" s="2036"/>
      <c r="C273" s="2029"/>
      <c r="D273" s="426" t="s">
        <v>439</v>
      </c>
      <c r="E273" s="438"/>
      <c r="F273" s="438"/>
      <c r="G273" s="438"/>
      <c r="H273" s="438"/>
      <c r="I273" s="438"/>
      <c r="J273" s="438"/>
      <c r="K273" s="438"/>
      <c r="L273" s="438"/>
      <c r="M273" s="438"/>
      <c r="N273" s="438"/>
      <c r="O273" s="438"/>
      <c r="P273" s="438"/>
      <c r="Q273" s="361">
        <f>SUM(E273:P273)</f>
        <v>0</v>
      </c>
    </row>
    <row r="274" spans="1:17" s="750" customFormat="1" ht="15" customHeight="1">
      <c r="A274" s="2058"/>
      <c r="B274" s="2036"/>
      <c r="C274" s="2029"/>
      <c r="D274" s="426" t="s">
        <v>826</v>
      </c>
      <c r="E274" s="438"/>
      <c r="F274" s="438"/>
      <c r="G274" s="438"/>
      <c r="H274" s="438"/>
      <c r="I274" s="438"/>
      <c r="J274" s="438"/>
      <c r="K274" s="438"/>
      <c r="L274" s="438"/>
      <c r="M274" s="438"/>
      <c r="N274" s="438"/>
      <c r="O274" s="438"/>
      <c r="P274" s="438"/>
      <c r="Q274" s="361">
        <f>SUM(E274:P274)</f>
        <v>0</v>
      </c>
    </row>
    <row r="275" spans="1:17" s="750" customFormat="1" ht="15" customHeight="1">
      <c r="A275" s="2058"/>
      <c r="B275" s="2036"/>
      <c r="C275" s="2029"/>
      <c r="D275" s="426" t="s">
        <v>440</v>
      </c>
      <c r="E275" s="438"/>
      <c r="F275" s="438"/>
      <c r="G275" s="438"/>
      <c r="H275" s="438"/>
      <c r="I275" s="438"/>
      <c r="J275" s="438"/>
      <c r="K275" s="438"/>
      <c r="L275" s="438"/>
      <c r="M275" s="438"/>
      <c r="N275" s="438"/>
      <c r="O275" s="438"/>
      <c r="P275" s="438"/>
      <c r="Q275" s="361">
        <f>SUM(E275:P275)</f>
        <v>0</v>
      </c>
    </row>
    <row r="276" spans="1:17" s="750" customFormat="1" ht="15" customHeight="1">
      <c r="A276" s="2058"/>
      <c r="B276" s="2036"/>
      <c r="C276" s="2030"/>
      <c r="D276" s="410" t="s">
        <v>441</v>
      </c>
      <c r="E276" s="418">
        <f>SUM(E273:E275)</f>
        <v>0</v>
      </c>
      <c r="F276" s="449">
        <f aca="true" t="shared" si="48" ref="F276:P276">SUM(F273:F275)</f>
        <v>0</v>
      </c>
      <c r="G276" s="449">
        <f t="shared" si="48"/>
        <v>0</v>
      </c>
      <c r="H276" s="449">
        <f t="shared" si="48"/>
        <v>0</v>
      </c>
      <c r="I276" s="449">
        <f t="shared" si="48"/>
        <v>0</v>
      </c>
      <c r="J276" s="368">
        <f t="shared" si="48"/>
        <v>0</v>
      </c>
      <c r="K276" s="449">
        <f t="shared" si="48"/>
        <v>0</v>
      </c>
      <c r="L276" s="368">
        <f t="shared" si="48"/>
        <v>0</v>
      </c>
      <c r="M276" s="365">
        <f t="shared" si="48"/>
        <v>0</v>
      </c>
      <c r="N276" s="365">
        <f t="shared" si="48"/>
        <v>0</v>
      </c>
      <c r="O276" s="365">
        <f t="shared" si="48"/>
        <v>0</v>
      </c>
      <c r="P276" s="561">
        <f t="shared" si="48"/>
        <v>0</v>
      </c>
      <c r="Q276" s="366">
        <f>SUM(Q273:Q275)</f>
        <v>0</v>
      </c>
    </row>
    <row r="277" spans="1:17" s="750" customFormat="1" ht="15" customHeight="1">
      <c r="A277" s="2058"/>
      <c r="B277" s="2036"/>
      <c r="C277" s="2060" t="s">
        <v>444</v>
      </c>
      <c r="D277" s="409" t="s">
        <v>451</v>
      </c>
      <c r="E277" s="394">
        <v>13392</v>
      </c>
      <c r="F277" s="375"/>
      <c r="G277" s="375"/>
      <c r="H277" s="375"/>
      <c r="I277" s="375"/>
      <c r="J277" s="396"/>
      <c r="K277" s="371"/>
      <c r="L277" s="396"/>
      <c r="M277" s="396"/>
      <c r="N277" s="371"/>
      <c r="O277" s="371"/>
      <c r="P277" s="556"/>
      <c r="Q277" s="361">
        <f>SUM(E277:P277)</f>
        <v>13392</v>
      </c>
    </row>
    <row r="278" spans="1:17" s="750" customFormat="1" ht="15" customHeight="1" hidden="1">
      <c r="A278" s="2058"/>
      <c r="B278" s="2036"/>
      <c r="C278" s="2029"/>
      <c r="D278" s="409" t="s">
        <v>828</v>
      </c>
      <c r="E278" s="394"/>
      <c r="F278" s="394"/>
      <c r="G278" s="375"/>
      <c r="H278" s="375"/>
      <c r="I278" s="375"/>
      <c r="J278" s="396"/>
      <c r="K278" s="371"/>
      <c r="L278" s="396"/>
      <c r="M278" s="396"/>
      <c r="N278" s="396"/>
      <c r="O278" s="396"/>
      <c r="P278" s="562"/>
      <c r="Q278" s="361">
        <f aca="true" t="shared" si="49" ref="Q278:Q286">SUM(E278:P278)</f>
        <v>0</v>
      </c>
    </row>
    <row r="279" spans="1:17" s="750" customFormat="1" ht="15" customHeight="1" hidden="1">
      <c r="A279" s="2058"/>
      <c r="B279" s="2036"/>
      <c r="C279" s="2029"/>
      <c r="D279" s="409" t="s">
        <v>544</v>
      </c>
      <c r="E279" s="394"/>
      <c r="F279" s="375"/>
      <c r="G279" s="375"/>
      <c r="H279" s="376"/>
      <c r="I279" s="375"/>
      <c r="J279" s="396"/>
      <c r="K279" s="371"/>
      <c r="L279" s="396"/>
      <c r="M279" s="396"/>
      <c r="N279" s="396"/>
      <c r="O279" s="396"/>
      <c r="P279" s="562"/>
      <c r="Q279" s="361">
        <f>SUM(E279:P279)</f>
        <v>0</v>
      </c>
    </row>
    <row r="280" spans="1:17" s="750" customFormat="1" ht="15" customHeight="1" hidden="1">
      <c r="A280" s="2058"/>
      <c r="B280" s="2036"/>
      <c r="C280" s="2029"/>
      <c r="D280" s="409" t="s">
        <v>733</v>
      </c>
      <c r="E280" s="394"/>
      <c r="F280" s="375"/>
      <c r="G280" s="375"/>
      <c r="H280" s="376"/>
      <c r="I280" s="376"/>
      <c r="J280" s="396"/>
      <c r="K280" s="371"/>
      <c r="L280" s="396"/>
      <c r="M280" s="396"/>
      <c r="N280" s="396"/>
      <c r="O280" s="396"/>
      <c r="P280" s="562"/>
      <c r="Q280" s="361">
        <f>SUM(E280:P280)</f>
        <v>0</v>
      </c>
    </row>
    <row r="281" spans="1:17" s="750" customFormat="1" ht="15" customHeight="1" hidden="1">
      <c r="A281" s="2058"/>
      <c r="B281" s="2036"/>
      <c r="C281" s="2029"/>
      <c r="D281" s="409" t="s">
        <v>460</v>
      </c>
      <c r="E281" s="395"/>
      <c r="F281" s="376"/>
      <c r="G281" s="376"/>
      <c r="H281" s="375"/>
      <c r="I281" s="375"/>
      <c r="J281" s="396"/>
      <c r="K281" s="371"/>
      <c r="L281" s="396"/>
      <c r="M281" s="396"/>
      <c r="N281" s="396"/>
      <c r="O281" s="396"/>
      <c r="P281" s="562"/>
      <c r="Q281" s="361">
        <f t="shared" si="49"/>
        <v>0</v>
      </c>
    </row>
    <row r="282" spans="1:17" s="750" customFormat="1" ht="15" customHeight="1" hidden="1">
      <c r="A282" s="2058"/>
      <c r="B282" s="2036"/>
      <c r="C282" s="2029"/>
      <c r="D282" s="409" t="s">
        <v>1147</v>
      </c>
      <c r="E282" s="395"/>
      <c r="F282" s="376"/>
      <c r="G282" s="376"/>
      <c r="H282" s="375"/>
      <c r="I282" s="375"/>
      <c r="J282" s="396"/>
      <c r="K282" s="371"/>
      <c r="L282" s="396"/>
      <c r="M282" s="396"/>
      <c r="N282" s="396"/>
      <c r="O282" s="396"/>
      <c r="P282" s="562"/>
      <c r="Q282" s="361">
        <f t="shared" si="49"/>
        <v>0</v>
      </c>
    </row>
    <row r="283" spans="1:17" s="750" customFormat="1" ht="15" customHeight="1" hidden="1">
      <c r="A283" s="2058"/>
      <c r="B283" s="2036"/>
      <c r="C283" s="2029"/>
      <c r="D283" s="409" t="s">
        <v>838</v>
      </c>
      <c r="E283" s="396"/>
      <c r="F283" s="375"/>
      <c r="G283" s="375"/>
      <c r="H283" s="375"/>
      <c r="I283" s="375"/>
      <c r="J283" s="396"/>
      <c r="K283" s="371"/>
      <c r="L283" s="396"/>
      <c r="M283" s="396"/>
      <c r="N283" s="396"/>
      <c r="O283" s="396"/>
      <c r="P283" s="562"/>
      <c r="Q283" s="361">
        <f t="shared" si="49"/>
        <v>0</v>
      </c>
    </row>
    <row r="284" spans="1:17" s="750" customFormat="1" ht="15" customHeight="1" hidden="1">
      <c r="A284" s="2058"/>
      <c r="B284" s="2036"/>
      <c r="C284" s="2029"/>
      <c r="D284" s="409" t="s">
        <v>839</v>
      </c>
      <c r="E284" s="396"/>
      <c r="F284" s="375"/>
      <c r="G284" s="375"/>
      <c r="H284" s="375"/>
      <c r="I284" s="375"/>
      <c r="J284" s="396"/>
      <c r="K284" s="371"/>
      <c r="L284" s="396"/>
      <c r="M284" s="396"/>
      <c r="N284" s="396"/>
      <c r="O284" s="396"/>
      <c r="P284" s="562"/>
      <c r="Q284" s="361">
        <f t="shared" si="49"/>
        <v>0</v>
      </c>
    </row>
    <row r="285" spans="1:17" s="750" customFormat="1" ht="15" customHeight="1" hidden="1">
      <c r="A285" s="2058"/>
      <c r="B285" s="2036"/>
      <c r="C285" s="2029"/>
      <c r="D285" s="409" t="s">
        <v>448</v>
      </c>
      <c r="E285" s="396"/>
      <c r="F285" s="375"/>
      <c r="G285" s="375"/>
      <c r="H285" s="375"/>
      <c r="I285" s="375"/>
      <c r="J285" s="396"/>
      <c r="K285" s="371"/>
      <c r="L285" s="396"/>
      <c r="M285" s="396"/>
      <c r="N285" s="396"/>
      <c r="O285" s="396"/>
      <c r="P285" s="562"/>
      <c r="Q285" s="361">
        <f t="shared" si="49"/>
        <v>0</v>
      </c>
    </row>
    <row r="286" spans="1:17" s="750" customFormat="1" ht="15" customHeight="1">
      <c r="A286" s="2058"/>
      <c r="B286" s="2036"/>
      <c r="C286" s="2029"/>
      <c r="D286" s="409" t="s">
        <v>1148</v>
      </c>
      <c r="E286" s="396">
        <v>-13392</v>
      </c>
      <c r="F286" s="375"/>
      <c r="G286" s="375"/>
      <c r="H286" s="375"/>
      <c r="I286" s="375"/>
      <c r="J286" s="396"/>
      <c r="K286" s="371"/>
      <c r="L286" s="396"/>
      <c r="M286" s="396"/>
      <c r="N286" s="396"/>
      <c r="O286" s="396"/>
      <c r="P286" s="562"/>
      <c r="Q286" s="361">
        <f t="shared" si="49"/>
        <v>-13392</v>
      </c>
    </row>
    <row r="287" spans="1:17" s="750" customFormat="1" ht="15" customHeight="1" hidden="1">
      <c r="A287" s="2058"/>
      <c r="B287" s="2036"/>
      <c r="C287" s="2029"/>
      <c r="D287" s="409" t="s">
        <v>502</v>
      </c>
      <c r="E287" s="394"/>
      <c r="F287" s="375"/>
      <c r="G287" s="375"/>
      <c r="H287" s="375"/>
      <c r="I287" s="375"/>
      <c r="J287" s="396"/>
      <c r="K287" s="371"/>
      <c r="L287" s="371"/>
      <c r="M287" s="396"/>
      <c r="N287" s="396"/>
      <c r="O287" s="396"/>
      <c r="P287" s="562"/>
      <c r="Q287" s="361">
        <f>SUM(E287:P287)</f>
        <v>0</v>
      </c>
    </row>
    <row r="288" spans="1:18" s="751" customFormat="1" ht="15" customHeight="1" thickBot="1">
      <c r="A288" s="2059"/>
      <c r="B288" s="2038"/>
      <c r="C288" s="2031"/>
      <c r="D288" s="423" t="s">
        <v>446</v>
      </c>
      <c r="E288" s="430">
        <f>SUM(E277:E287)</f>
        <v>0</v>
      </c>
      <c r="F288" s="413">
        <f aca="true" t="shared" si="50" ref="F288:P288">SUM(F277:F287)</f>
        <v>0</v>
      </c>
      <c r="G288" s="413">
        <f>SUM(G277:G287)</f>
        <v>0</v>
      </c>
      <c r="H288" s="413">
        <f t="shared" si="50"/>
        <v>0</v>
      </c>
      <c r="I288" s="413">
        <f>SUM(I277:I287)</f>
        <v>0</v>
      </c>
      <c r="J288" s="413">
        <f t="shared" si="50"/>
        <v>0</v>
      </c>
      <c r="K288" s="413">
        <f t="shared" si="50"/>
        <v>0</v>
      </c>
      <c r="L288" s="413">
        <f t="shared" si="50"/>
        <v>0</v>
      </c>
      <c r="M288" s="413">
        <f t="shared" si="50"/>
        <v>0</v>
      </c>
      <c r="N288" s="413">
        <f t="shared" si="50"/>
        <v>0</v>
      </c>
      <c r="O288" s="413">
        <f>SUM(O277:O287)</f>
        <v>0</v>
      </c>
      <c r="P288" s="571">
        <f t="shared" si="50"/>
        <v>0</v>
      </c>
      <c r="Q288" s="431">
        <f>SUM(Q277:Q287)</f>
        <v>0</v>
      </c>
      <c r="R288" s="753">
        <f>Q272+Q276+Q288</f>
        <v>0</v>
      </c>
    </row>
    <row r="289" spans="1:17" s="752" customFormat="1" ht="4.5" customHeight="1" thickBot="1">
      <c r="A289" s="1162"/>
      <c r="B289" s="1165"/>
      <c r="C289" s="1163"/>
      <c r="D289" s="425"/>
      <c r="E289" s="385"/>
      <c r="F289" s="383"/>
      <c r="G289" s="383"/>
      <c r="H289" s="383"/>
      <c r="I289" s="383"/>
      <c r="J289" s="383"/>
      <c r="K289" s="558"/>
      <c r="L289" s="564"/>
      <c r="M289" s="385"/>
      <c r="N289" s="383"/>
      <c r="O289" s="383"/>
      <c r="P289" s="558"/>
      <c r="Q289" s="386"/>
    </row>
    <row r="290" spans="1:17" s="750" customFormat="1" ht="15" customHeight="1" hidden="1">
      <c r="A290" s="2057">
        <v>15</v>
      </c>
      <c r="B290" s="2035" t="s">
        <v>549</v>
      </c>
      <c r="C290" s="2028" t="s">
        <v>435</v>
      </c>
      <c r="D290" s="415" t="s">
        <v>436</v>
      </c>
      <c r="E290" s="435"/>
      <c r="F290" s="435"/>
      <c r="G290" s="435"/>
      <c r="H290" s="435"/>
      <c r="I290" s="435"/>
      <c r="J290" s="435"/>
      <c r="K290" s="435"/>
      <c r="L290" s="435"/>
      <c r="M290" s="388"/>
      <c r="N290" s="436"/>
      <c r="O290" s="436"/>
      <c r="P290" s="572"/>
      <c r="Q290" s="390">
        <f>SUM(E290:P290)</f>
        <v>0</v>
      </c>
    </row>
    <row r="291" spans="1:17" s="750" customFormat="1" ht="15" customHeight="1" hidden="1">
      <c r="A291" s="2058"/>
      <c r="B291" s="2036"/>
      <c r="C291" s="2029"/>
      <c r="D291" s="426" t="s">
        <v>825</v>
      </c>
      <c r="E291" s="438"/>
      <c r="F291" s="438"/>
      <c r="G291" s="438"/>
      <c r="H291" s="438"/>
      <c r="I291" s="438"/>
      <c r="J291" s="438"/>
      <c r="K291" s="438"/>
      <c r="L291" s="438"/>
      <c r="M291" s="358"/>
      <c r="N291" s="362"/>
      <c r="O291" s="362"/>
      <c r="P291" s="554"/>
      <c r="Q291" s="359">
        <f>SUM(E291:P291)</f>
        <v>0</v>
      </c>
    </row>
    <row r="292" spans="1:17" s="750" customFormat="1" ht="15" customHeight="1" hidden="1">
      <c r="A292" s="2058"/>
      <c r="B292" s="2036"/>
      <c r="C292" s="2029"/>
      <c r="D292" s="426" t="s">
        <v>437</v>
      </c>
      <c r="E292" s="438"/>
      <c r="F292" s="438"/>
      <c r="G292" s="438"/>
      <c r="H292" s="438"/>
      <c r="I292" s="438"/>
      <c r="J292" s="438"/>
      <c r="K292" s="438"/>
      <c r="L292" s="438"/>
      <c r="M292" s="358"/>
      <c r="N292" s="358"/>
      <c r="O292" s="358"/>
      <c r="P292" s="554"/>
      <c r="Q292" s="361">
        <f>SUM(E292:P292)</f>
        <v>0</v>
      </c>
    </row>
    <row r="293" spans="1:26" s="750" customFormat="1" ht="15" customHeight="1" hidden="1">
      <c r="A293" s="2058"/>
      <c r="B293" s="2036"/>
      <c r="C293" s="2029"/>
      <c r="D293" s="410" t="s">
        <v>438</v>
      </c>
      <c r="E293" s="449">
        <f aca="true" t="shared" si="51" ref="E293:P293">SUM(E290:E292)</f>
        <v>0</v>
      </c>
      <c r="F293" s="449">
        <f t="shared" si="51"/>
        <v>0</v>
      </c>
      <c r="G293" s="449">
        <f t="shared" si="51"/>
        <v>0</v>
      </c>
      <c r="H293" s="449">
        <f t="shared" si="51"/>
        <v>0</v>
      </c>
      <c r="I293" s="449">
        <f t="shared" si="51"/>
        <v>0</v>
      </c>
      <c r="J293" s="449">
        <f t="shared" si="51"/>
        <v>0</v>
      </c>
      <c r="K293" s="368">
        <f t="shared" si="51"/>
        <v>0</v>
      </c>
      <c r="L293" s="449">
        <f t="shared" si="51"/>
        <v>0</v>
      </c>
      <c r="M293" s="449">
        <f t="shared" si="51"/>
        <v>0</v>
      </c>
      <c r="N293" s="365">
        <f t="shared" si="51"/>
        <v>0</v>
      </c>
      <c r="O293" s="365">
        <f t="shared" si="51"/>
        <v>0</v>
      </c>
      <c r="P293" s="561">
        <f t="shared" si="51"/>
        <v>0</v>
      </c>
      <c r="Q293" s="366">
        <f>SUM(Q290:Q292)</f>
        <v>0</v>
      </c>
      <c r="S293" s="756"/>
      <c r="T293" s="756"/>
      <c r="U293" s="756"/>
      <c r="V293" s="756"/>
      <c r="W293" s="756"/>
      <c r="X293" s="756"/>
      <c r="Y293" s="756"/>
      <c r="Z293" s="756"/>
    </row>
    <row r="294" spans="1:17" s="750" customFormat="1" ht="15" customHeight="1" hidden="1">
      <c r="A294" s="2058"/>
      <c r="B294" s="2036"/>
      <c r="C294" s="2029"/>
      <c r="D294" s="426" t="s">
        <v>439</v>
      </c>
      <c r="E294" s="438"/>
      <c r="F294" s="438"/>
      <c r="G294" s="438"/>
      <c r="H294" s="438"/>
      <c r="I294" s="438"/>
      <c r="J294" s="438"/>
      <c r="K294" s="442"/>
      <c r="L294" s="438"/>
      <c r="M294" s="438"/>
      <c r="N294" s="358"/>
      <c r="O294" s="358"/>
      <c r="P294" s="554"/>
      <c r="Q294" s="361">
        <f>SUM(E294:P294)</f>
        <v>0</v>
      </c>
    </row>
    <row r="295" spans="1:17" s="750" customFormat="1" ht="15" customHeight="1" hidden="1">
      <c r="A295" s="2058"/>
      <c r="B295" s="2036"/>
      <c r="C295" s="2029"/>
      <c r="D295" s="426" t="s">
        <v>826</v>
      </c>
      <c r="E295" s="438"/>
      <c r="F295" s="438"/>
      <c r="G295" s="438"/>
      <c r="H295" s="438"/>
      <c r="I295" s="438"/>
      <c r="J295" s="438"/>
      <c r="K295" s="438"/>
      <c r="L295" s="438"/>
      <c r="M295" s="438"/>
      <c r="N295" s="358"/>
      <c r="O295" s="358"/>
      <c r="P295" s="554"/>
      <c r="Q295" s="361">
        <f>SUM(E295:P295)</f>
        <v>0</v>
      </c>
    </row>
    <row r="296" spans="1:17" s="750" customFormat="1" ht="15" customHeight="1" hidden="1">
      <c r="A296" s="2058"/>
      <c r="B296" s="2036"/>
      <c r="C296" s="2029"/>
      <c r="D296" s="426" t="s">
        <v>440</v>
      </c>
      <c r="E296" s="438"/>
      <c r="F296" s="438"/>
      <c r="G296" s="438"/>
      <c r="H296" s="438"/>
      <c r="I296" s="438"/>
      <c r="J296" s="438"/>
      <c r="K296" s="438"/>
      <c r="L296" s="438"/>
      <c r="M296" s="438"/>
      <c r="N296" s="358"/>
      <c r="O296" s="358"/>
      <c r="P296" s="554"/>
      <c r="Q296" s="361">
        <f>SUM(E296:P296)</f>
        <v>0</v>
      </c>
    </row>
    <row r="297" spans="1:17" s="750" customFormat="1" ht="15" customHeight="1" hidden="1">
      <c r="A297" s="2058"/>
      <c r="B297" s="2036"/>
      <c r="C297" s="2030"/>
      <c r="D297" s="410" t="s">
        <v>441</v>
      </c>
      <c r="E297" s="449">
        <f>SUM(E294:E296)</f>
        <v>0</v>
      </c>
      <c r="F297" s="449">
        <f>SUM(F294:F296)</f>
        <v>0</v>
      </c>
      <c r="G297" s="449">
        <f>SUM(G294:G296)</f>
        <v>0</v>
      </c>
      <c r="H297" s="449">
        <f>SUM(H294:H296)</f>
        <v>0</v>
      </c>
      <c r="I297" s="449">
        <f>SUM(I294:I296)</f>
        <v>0</v>
      </c>
      <c r="J297" s="368">
        <f aca="true" t="shared" si="52" ref="J297:P297">SUM(J294:J296)</f>
        <v>0</v>
      </c>
      <c r="K297" s="449">
        <f t="shared" si="52"/>
        <v>0</v>
      </c>
      <c r="L297" s="368">
        <f t="shared" si="52"/>
        <v>0</v>
      </c>
      <c r="M297" s="365">
        <f t="shared" si="52"/>
        <v>0</v>
      </c>
      <c r="N297" s="365">
        <f t="shared" si="52"/>
        <v>0</v>
      </c>
      <c r="O297" s="365">
        <f t="shared" si="52"/>
        <v>0</v>
      </c>
      <c r="P297" s="561">
        <f t="shared" si="52"/>
        <v>0</v>
      </c>
      <c r="Q297" s="366">
        <f>SUM(Q294:Q296)</f>
        <v>0</v>
      </c>
    </row>
    <row r="298" spans="1:17" s="750" customFormat="1" ht="15" customHeight="1" hidden="1">
      <c r="A298" s="2058"/>
      <c r="B298" s="2036"/>
      <c r="C298" s="2029"/>
      <c r="D298" s="409" t="s">
        <v>543</v>
      </c>
      <c r="E298" s="375"/>
      <c r="F298" s="375"/>
      <c r="G298" s="375"/>
      <c r="H298" s="375"/>
      <c r="I298" s="375"/>
      <c r="J298" s="394"/>
      <c r="K298" s="375"/>
      <c r="L298" s="394"/>
      <c r="M298" s="394"/>
      <c r="N298" s="396"/>
      <c r="O298" s="396"/>
      <c r="P298" s="562"/>
      <c r="Q298" s="361">
        <f aca="true" t="shared" si="53" ref="Q298:Q304">SUM(E298:P298)</f>
        <v>0</v>
      </c>
    </row>
    <row r="299" spans="1:17" s="750" customFormat="1" ht="15" customHeight="1" hidden="1">
      <c r="A299" s="2058"/>
      <c r="B299" s="2036"/>
      <c r="C299" s="2029"/>
      <c r="D299" s="409" t="s">
        <v>838</v>
      </c>
      <c r="E299" s="394"/>
      <c r="F299" s="375"/>
      <c r="G299" s="375"/>
      <c r="H299" s="375"/>
      <c r="I299" s="375"/>
      <c r="J299" s="394"/>
      <c r="K299" s="375"/>
      <c r="L299" s="394"/>
      <c r="M299" s="394"/>
      <c r="N299" s="396"/>
      <c r="O299" s="396"/>
      <c r="P299" s="562"/>
      <c r="Q299" s="361">
        <f t="shared" si="53"/>
        <v>0</v>
      </c>
    </row>
    <row r="300" spans="1:17" s="750" customFormat="1" ht="15" customHeight="1" hidden="1">
      <c r="A300" s="2058"/>
      <c r="B300" s="2036"/>
      <c r="C300" s="2029"/>
      <c r="D300" s="409" t="s">
        <v>842</v>
      </c>
      <c r="E300" s="394"/>
      <c r="F300" s="375"/>
      <c r="G300" s="375"/>
      <c r="H300" s="375"/>
      <c r="I300" s="375"/>
      <c r="J300" s="394"/>
      <c r="K300" s="375"/>
      <c r="L300" s="394"/>
      <c r="M300" s="394"/>
      <c r="N300" s="396"/>
      <c r="O300" s="396"/>
      <c r="P300" s="562"/>
      <c r="Q300" s="361">
        <f t="shared" si="53"/>
        <v>0</v>
      </c>
    </row>
    <row r="301" spans="1:17" s="750" customFormat="1" ht="15" customHeight="1" hidden="1">
      <c r="A301" s="2058"/>
      <c r="B301" s="2036"/>
      <c r="C301" s="2029"/>
      <c r="D301" s="409" t="s">
        <v>843</v>
      </c>
      <c r="E301" s="394"/>
      <c r="F301" s="375"/>
      <c r="G301" s="375"/>
      <c r="H301" s="375"/>
      <c r="I301" s="375"/>
      <c r="J301" s="394"/>
      <c r="K301" s="375"/>
      <c r="L301" s="394"/>
      <c r="M301" s="394"/>
      <c r="N301" s="396"/>
      <c r="O301" s="396"/>
      <c r="P301" s="562"/>
      <c r="Q301" s="361">
        <f t="shared" si="53"/>
        <v>0</v>
      </c>
    </row>
    <row r="302" spans="1:17" s="750" customFormat="1" ht="15" customHeight="1" hidden="1">
      <c r="A302" s="2058"/>
      <c r="B302" s="2036"/>
      <c r="C302" s="2029"/>
      <c r="D302" s="409" t="s">
        <v>449</v>
      </c>
      <c r="E302" s="394"/>
      <c r="F302" s="375"/>
      <c r="G302" s="375"/>
      <c r="H302" s="375"/>
      <c r="I302" s="375"/>
      <c r="J302" s="394"/>
      <c r="K302" s="375"/>
      <c r="L302" s="394"/>
      <c r="M302" s="394"/>
      <c r="N302" s="396"/>
      <c r="O302" s="396"/>
      <c r="P302" s="562"/>
      <c r="Q302" s="361">
        <f t="shared" si="53"/>
        <v>0</v>
      </c>
    </row>
    <row r="303" spans="1:17" s="750" customFormat="1" ht="15" customHeight="1" hidden="1">
      <c r="A303" s="2058"/>
      <c r="B303" s="2036"/>
      <c r="C303" s="2029"/>
      <c r="D303" s="409" t="s">
        <v>460</v>
      </c>
      <c r="E303" s="394"/>
      <c r="F303" s="375"/>
      <c r="G303" s="375"/>
      <c r="H303" s="375"/>
      <c r="I303" s="375"/>
      <c r="J303" s="394"/>
      <c r="K303" s="375"/>
      <c r="L303" s="394"/>
      <c r="M303" s="394"/>
      <c r="N303" s="396"/>
      <c r="O303" s="396"/>
      <c r="P303" s="562"/>
      <c r="Q303" s="361">
        <f t="shared" si="53"/>
        <v>0</v>
      </c>
    </row>
    <row r="304" spans="1:19" s="750" customFormat="1" ht="15" customHeight="1" hidden="1">
      <c r="A304" s="2058"/>
      <c r="B304" s="2036"/>
      <c r="C304" s="2029"/>
      <c r="D304" s="409" t="s">
        <v>452</v>
      </c>
      <c r="E304" s="394"/>
      <c r="F304" s="375"/>
      <c r="G304" s="375"/>
      <c r="H304" s="375"/>
      <c r="I304" s="375"/>
      <c r="J304" s="394"/>
      <c r="K304" s="375"/>
      <c r="L304" s="394"/>
      <c r="M304" s="394"/>
      <c r="N304" s="396"/>
      <c r="O304" s="396"/>
      <c r="P304" s="562"/>
      <c r="Q304" s="361">
        <f t="shared" si="53"/>
        <v>0</v>
      </c>
      <c r="S304" s="757"/>
    </row>
    <row r="305" spans="1:17" s="751" customFormat="1" ht="15" customHeight="1" hidden="1">
      <c r="A305" s="2059"/>
      <c r="B305" s="2038"/>
      <c r="C305" s="2031"/>
      <c r="D305" s="423" t="s">
        <v>446</v>
      </c>
      <c r="E305" s="430">
        <f aca="true" t="shared" si="54" ref="E305:Q305">SUM(E298:E304)</f>
        <v>0</v>
      </c>
      <c r="F305" s="413">
        <f t="shared" si="54"/>
        <v>0</v>
      </c>
      <c r="G305" s="413">
        <f t="shared" si="54"/>
        <v>0</v>
      </c>
      <c r="H305" s="413">
        <f t="shared" si="54"/>
        <v>0</v>
      </c>
      <c r="I305" s="413">
        <f t="shared" si="54"/>
        <v>0</v>
      </c>
      <c r="J305" s="413">
        <f t="shared" si="54"/>
        <v>0</v>
      </c>
      <c r="K305" s="413">
        <f t="shared" si="54"/>
        <v>0</v>
      </c>
      <c r="L305" s="413">
        <f t="shared" si="54"/>
        <v>0</v>
      </c>
      <c r="M305" s="413">
        <f t="shared" si="54"/>
        <v>0</v>
      </c>
      <c r="N305" s="413">
        <f t="shared" si="54"/>
        <v>0</v>
      </c>
      <c r="O305" s="413">
        <f t="shared" si="54"/>
        <v>0</v>
      </c>
      <c r="P305" s="571">
        <f t="shared" si="54"/>
        <v>0</v>
      </c>
      <c r="Q305" s="431">
        <f t="shared" si="54"/>
        <v>0</v>
      </c>
    </row>
    <row r="306" spans="1:17" s="752" customFormat="1" ht="4.5" customHeight="1" hidden="1">
      <c r="A306" s="1162"/>
      <c r="B306" s="1165"/>
      <c r="C306" s="1163"/>
      <c r="D306" s="425"/>
      <c r="E306" s="385"/>
      <c r="F306" s="383"/>
      <c r="G306" s="383"/>
      <c r="H306" s="383"/>
      <c r="I306" s="383"/>
      <c r="J306" s="383"/>
      <c r="K306" s="558"/>
      <c r="L306" s="564"/>
      <c r="M306" s="385"/>
      <c r="N306" s="383"/>
      <c r="O306" s="383"/>
      <c r="P306" s="558"/>
      <c r="Q306" s="386"/>
    </row>
    <row r="307" spans="1:17" s="750" customFormat="1" ht="15" customHeight="1">
      <c r="A307" s="2057">
        <v>14</v>
      </c>
      <c r="B307" s="2035" t="s">
        <v>657</v>
      </c>
      <c r="C307" s="2028" t="s">
        <v>435</v>
      </c>
      <c r="D307" s="415" t="s">
        <v>436</v>
      </c>
      <c r="E307" s="435">
        <v>-41139</v>
      </c>
      <c r="F307" s="435">
        <v>-16320</v>
      </c>
      <c r="G307" s="435">
        <v>-27718</v>
      </c>
      <c r="H307" s="435">
        <v>-2290</v>
      </c>
      <c r="I307" s="435">
        <v>-5207</v>
      </c>
      <c r="J307" s="435">
        <v>-22470</v>
      </c>
      <c r="K307" s="435">
        <v>-32348</v>
      </c>
      <c r="L307" s="435">
        <v>-36700</v>
      </c>
      <c r="M307" s="435">
        <v>-13472</v>
      </c>
      <c r="N307" s="436">
        <v>-9481</v>
      </c>
      <c r="O307" s="436">
        <v>-12815</v>
      </c>
      <c r="P307" s="572">
        <v>-7266</v>
      </c>
      <c r="Q307" s="390">
        <f>SUM(E307:P307)</f>
        <v>-227226</v>
      </c>
    </row>
    <row r="308" spans="1:17" s="750" customFormat="1" ht="15" customHeight="1">
      <c r="A308" s="2058"/>
      <c r="B308" s="2036"/>
      <c r="C308" s="2029"/>
      <c r="D308" s="426" t="s">
        <v>825</v>
      </c>
      <c r="E308" s="438">
        <v>-2280</v>
      </c>
      <c r="F308" s="438">
        <v>-3551</v>
      </c>
      <c r="G308" s="438">
        <v>-990</v>
      </c>
      <c r="H308" s="438">
        <v>-3419</v>
      </c>
      <c r="I308" s="438">
        <v>-6546</v>
      </c>
      <c r="J308" s="438">
        <v>-4426</v>
      </c>
      <c r="K308" s="438">
        <v>-1864</v>
      </c>
      <c r="L308" s="438">
        <v>-480</v>
      </c>
      <c r="M308" s="438">
        <v>-2162</v>
      </c>
      <c r="N308" s="362">
        <v>-3292</v>
      </c>
      <c r="O308" s="362">
        <v>-2538</v>
      </c>
      <c r="P308" s="554">
        <v>-165</v>
      </c>
      <c r="Q308" s="359">
        <f>SUM(E308:P308)</f>
        <v>-31713</v>
      </c>
    </row>
    <row r="309" spans="1:17" s="750" customFormat="1" ht="15" customHeight="1">
      <c r="A309" s="2058"/>
      <c r="B309" s="2036"/>
      <c r="C309" s="2029"/>
      <c r="D309" s="426" t="s">
        <v>437</v>
      </c>
      <c r="E309" s="438">
        <v>-9250</v>
      </c>
      <c r="F309" s="438">
        <v>-5847</v>
      </c>
      <c r="G309" s="438">
        <v>-2957</v>
      </c>
      <c r="H309" s="438">
        <v>-12794</v>
      </c>
      <c r="I309" s="438">
        <v>-6734</v>
      </c>
      <c r="J309" s="438">
        <v>-3978</v>
      </c>
      <c r="K309" s="438">
        <v>-2714</v>
      </c>
      <c r="L309" s="438">
        <v>-605</v>
      </c>
      <c r="M309" s="438">
        <v>-10038</v>
      </c>
      <c r="N309" s="358">
        <v>-11872</v>
      </c>
      <c r="O309" s="358">
        <v>-14013</v>
      </c>
      <c r="P309" s="554">
        <v>-26561</v>
      </c>
      <c r="Q309" s="361">
        <f>SUM(E309:P309)</f>
        <v>-107363</v>
      </c>
    </row>
    <row r="310" spans="1:17" s="750" customFormat="1" ht="15" customHeight="1">
      <c r="A310" s="2058"/>
      <c r="B310" s="2036"/>
      <c r="C310" s="2029"/>
      <c r="D310" s="410" t="s">
        <v>438</v>
      </c>
      <c r="E310" s="418">
        <f aca="true" t="shared" si="55" ref="E310:P310">SUM(E307:E309)</f>
        <v>-52669</v>
      </c>
      <c r="F310" s="449">
        <f t="shared" si="55"/>
        <v>-25718</v>
      </c>
      <c r="G310" s="449">
        <f t="shared" si="55"/>
        <v>-31665</v>
      </c>
      <c r="H310" s="449">
        <f t="shared" si="55"/>
        <v>-18503</v>
      </c>
      <c r="I310" s="449">
        <f t="shared" si="55"/>
        <v>-18487</v>
      </c>
      <c r="J310" s="368">
        <f t="shared" si="55"/>
        <v>-30874</v>
      </c>
      <c r="K310" s="449">
        <f t="shared" si="55"/>
        <v>-36926</v>
      </c>
      <c r="L310" s="582">
        <f t="shared" si="55"/>
        <v>-37785</v>
      </c>
      <c r="M310" s="365">
        <f t="shared" si="55"/>
        <v>-25672</v>
      </c>
      <c r="N310" s="365">
        <f t="shared" si="55"/>
        <v>-24645</v>
      </c>
      <c r="O310" s="365">
        <f t="shared" si="55"/>
        <v>-29366</v>
      </c>
      <c r="P310" s="561">
        <f t="shared" si="55"/>
        <v>-33992</v>
      </c>
      <c r="Q310" s="366">
        <f>SUM(Q307:Q309)</f>
        <v>-366302</v>
      </c>
    </row>
    <row r="311" spans="1:17" s="750" customFormat="1" ht="15" customHeight="1">
      <c r="A311" s="2058"/>
      <c r="B311" s="2036"/>
      <c r="C311" s="2029"/>
      <c r="D311" s="426" t="s">
        <v>439</v>
      </c>
      <c r="E311" s="447">
        <v>9250</v>
      </c>
      <c r="F311" s="438">
        <v>7177</v>
      </c>
      <c r="G311" s="438">
        <v>2957</v>
      </c>
      <c r="H311" s="438">
        <v>15589</v>
      </c>
      <c r="I311" s="438">
        <v>7580</v>
      </c>
      <c r="J311" s="438">
        <v>5203</v>
      </c>
      <c r="K311" s="438">
        <v>3495</v>
      </c>
      <c r="L311" s="583">
        <v>85</v>
      </c>
      <c r="M311" s="438">
        <v>11763</v>
      </c>
      <c r="N311" s="358">
        <v>11526</v>
      </c>
      <c r="O311" s="371">
        <v>6948</v>
      </c>
      <c r="P311" s="556">
        <v>12257</v>
      </c>
      <c r="Q311" s="361">
        <f>SUM(E311:P311)</f>
        <v>93830</v>
      </c>
    </row>
    <row r="312" spans="1:17" s="750" customFormat="1" ht="15" customHeight="1">
      <c r="A312" s="2058"/>
      <c r="B312" s="2036"/>
      <c r="C312" s="2029"/>
      <c r="D312" s="426" t="s">
        <v>826</v>
      </c>
      <c r="E312" s="438">
        <v>40458</v>
      </c>
      <c r="F312" s="438">
        <v>14749</v>
      </c>
      <c r="G312" s="438">
        <v>16340</v>
      </c>
      <c r="H312" s="438">
        <v>2597</v>
      </c>
      <c r="I312" s="438">
        <v>848</v>
      </c>
      <c r="J312" s="438">
        <v>1667</v>
      </c>
      <c r="K312" s="438">
        <v>15335</v>
      </c>
      <c r="L312" s="438">
        <v>14706</v>
      </c>
      <c r="M312" s="438">
        <v>2191</v>
      </c>
      <c r="N312" s="358">
        <v>5841</v>
      </c>
      <c r="O312" s="358">
        <v>14119</v>
      </c>
      <c r="P312" s="554">
        <v>23309</v>
      </c>
      <c r="Q312" s="361">
        <f>SUM(E312:P312)</f>
        <v>152160</v>
      </c>
    </row>
    <row r="313" spans="1:17" s="750" customFormat="1" ht="15" customHeight="1">
      <c r="A313" s="2058"/>
      <c r="B313" s="2036"/>
      <c r="C313" s="2029"/>
      <c r="D313" s="426" t="s">
        <v>440</v>
      </c>
      <c r="E313" s="438">
        <v>680</v>
      </c>
      <c r="F313" s="438">
        <v>1572</v>
      </c>
      <c r="G313" s="438">
        <v>10198</v>
      </c>
      <c r="H313" s="438">
        <v>527</v>
      </c>
      <c r="I313" s="438">
        <v>6141</v>
      </c>
      <c r="J313" s="438">
        <v>22720</v>
      </c>
      <c r="K313" s="438">
        <v>13936</v>
      </c>
      <c r="L313" s="438">
        <v>18284</v>
      </c>
      <c r="M313" s="438">
        <v>10998</v>
      </c>
      <c r="N313" s="358">
        <v>7278</v>
      </c>
      <c r="O313" s="358">
        <v>5884</v>
      </c>
      <c r="P313" s="554">
        <v>2176</v>
      </c>
      <c r="Q313" s="361">
        <f>SUM(E313:P313)</f>
        <v>100394</v>
      </c>
    </row>
    <row r="314" spans="1:17" s="750" customFormat="1" ht="15" customHeight="1">
      <c r="A314" s="2058"/>
      <c r="B314" s="2036"/>
      <c r="C314" s="2030"/>
      <c r="D314" s="363" t="s">
        <v>441</v>
      </c>
      <c r="E314" s="418">
        <f aca="true" t="shared" si="56" ref="E314:P314">SUM(E311:E313)</f>
        <v>50388</v>
      </c>
      <c r="F314" s="449">
        <f t="shared" si="56"/>
        <v>23498</v>
      </c>
      <c r="G314" s="449">
        <f t="shared" si="56"/>
        <v>29495</v>
      </c>
      <c r="H314" s="449">
        <f t="shared" si="56"/>
        <v>18713</v>
      </c>
      <c r="I314" s="449">
        <f t="shared" si="56"/>
        <v>14569</v>
      </c>
      <c r="J314" s="368">
        <f t="shared" si="56"/>
        <v>29590</v>
      </c>
      <c r="K314" s="449">
        <f t="shared" si="56"/>
        <v>32766</v>
      </c>
      <c r="L314" s="582">
        <f t="shared" si="56"/>
        <v>33075</v>
      </c>
      <c r="M314" s="365">
        <f t="shared" si="56"/>
        <v>24952</v>
      </c>
      <c r="N314" s="365">
        <f t="shared" si="56"/>
        <v>24645</v>
      </c>
      <c r="O314" s="365">
        <f t="shared" si="56"/>
        <v>26951</v>
      </c>
      <c r="P314" s="561">
        <f t="shared" si="56"/>
        <v>37742</v>
      </c>
      <c r="Q314" s="366">
        <f>SUM(Q311:Q313)</f>
        <v>346384</v>
      </c>
    </row>
    <row r="315" spans="1:17" s="750" customFormat="1" ht="15" customHeight="1">
      <c r="A315" s="2058"/>
      <c r="B315" s="2036"/>
      <c r="C315" s="2060" t="s">
        <v>444</v>
      </c>
      <c r="D315" s="370" t="s">
        <v>531</v>
      </c>
      <c r="E315" s="397"/>
      <c r="F315" s="375"/>
      <c r="G315" s="375"/>
      <c r="H315" s="375"/>
      <c r="I315" s="375">
        <v>3048</v>
      </c>
      <c r="J315" s="396">
        <v>1104</v>
      </c>
      <c r="K315" s="556"/>
      <c r="L315" s="584"/>
      <c r="M315" s="427"/>
      <c r="N315" s="371"/>
      <c r="O315" s="371"/>
      <c r="P315" s="556"/>
      <c r="Q315" s="361">
        <f>SUM(E315:P315)</f>
        <v>4152</v>
      </c>
    </row>
    <row r="316" spans="1:17" s="750" customFormat="1" ht="15" customHeight="1" hidden="1">
      <c r="A316" s="2058"/>
      <c r="B316" s="2036"/>
      <c r="C316" s="2029"/>
      <c r="D316" s="370" t="s">
        <v>831</v>
      </c>
      <c r="E316" s="397"/>
      <c r="F316" s="375"/>
      <c r="G316" s="375"/>
      <c r="H316" s="375"/>
      <c r="I316" s="375"/>
      <c r="J316" s="396"/>
      <c r="K316" s="556"/>
      <c r="L316" s="585"/>
      <c r="M316" s="427"/>
      <c r="N316" s="396"/>
      <c r="O316" s="396"/>
      <c r="P316" s="562"/>
      <c r="Q316" s="361">
        <f>SUM(E316:P316)</f>
        <v>0</v>
      </c>
    </row>
    <row r="317" spans="1:17" s="750" customFormat="1" ht="15" customHeight="1" hidden="1">
      <c r="A317" s="2058"/>
      <c r="B317" s="2036"/>
      <c r="C317" s="2029"/>
      <c r="D317" s="409" t="s">
        <v>733</v>
      </c>
      <c r="E317" s="375"/>
      <c r="F317" s="375"/>
      <c r="G317" s="375"/>
      <c r="H317" s="375"/>
      <c r="I317" s="375"/>
      <c r="J317" s="396"/>
      <c r="K317" s="371"/>
      <c r="L317" s="396"/>
      <c r="M317" s="371"/>
      <c r="N317" s="396"/>
      <c r="O317" s="396"/>
      <c r="P317" s="562"/>
      <c r="Q317" s="361">
        <f aca="true" t="shared" si="57" ref="Q317:Q326">SUM(E317:P317)</f>
        <v>0</v>
      </c>
    </row>
    <row r="318" spans="1:17" s="750" customFormat="1" ht="15" customHeight="1" hidden="1">
      <c r="A318" s="2058"/>
      <c r="B318" s="2036"/>
      <c r="C318" s="2029"/>
      <c r="D318" s="409" t="s">
        <v>455</v>
      </c>
      <c r="E318" s="394"/>
      <c r="F318" s="375"/>
      <c r="G318" s="375"/>
      <c r="H318" s="375"/>
      <c r="I318" s="375"/>
      <c r="J318" s="396"/>
      <c r="K318" s="371"/>
      <c r="L318" s="562"/>
      <c r="M318" s="396"/>
      <c r="N318" s="396"/>
      <c r="O318" s="396"/>
      <c r="P318" s="562"/>
      <c r="Q318" s="361">
        <f t="shared" si="57"/>
        <v>0</v>
      </c>
    </row>
    <row r="319" spans="1:17" s="750" customFormat="1" ht="15" customHeight="1">
      <c r="A319" s="2058"/>
      <c r="B319" s="2036"/>
      <c r="C319" s="2029"/>
      <c r="D319" s="409" t="s">
        <v>445</v>
      </c>
      <c r="E319" s="394">
        <v>2700</v>
      </c>
      <c r="F319" s="375">
        <v>2220</v>
      </c>
      <c r="G319" s="375">
        <v>2130</v>
      </c>
      <c r="H319" s="375">
        <v>270</v>
      </c>
      <c r="I319" s="375">
        <v>870</v>
      </c>
      <c r="J319" s="396">
        <v>180</v>
      </c>
      <c r="K319" s="697">
        <v>4560</v>
      </c>
      <c r="L319" s="562">
        <v>4800</v>
      </c>
      <c r="M319" s="396">
        <v>780</v>
      </c>
      <c r="N319" s="396"/>
      <c r="O319" s="396">
        <v>3255</v>
      </c>
      <c r="P319" s="562"/>
      <c r="Q319" s="361">
        <f t="shared" si="57"/>
        <v>21765</v>
      </c>
    </row>
    <row r="320" spans="1:17" s="750" customFormat="1" ht="15" customHeight="1">
      <c r="A320" s="2058"/>
      <c r="B320" s="2036"/>
      <c r="C320" s="2029"/>
      <c r="D320" s="409" t="s">
        <v>455</v>
      </c>
      <c r="E320" s="394"/>
      <c r="F320" s="375"/>
      <c r="G320" s="375"/>
      <c r="H320" s="375">
        <v>-480</v>
      </c>
      <c r="I320" s="375"/>
      <c r="J320" s="396"/>
      <c r="K320" s="371">
        <v>-400</v>
      </c>
      <c r="L320" s="562">
        <v>-90</v>
      </c>
      <c r="M320" s="396">
        <v>-60</v>
      </c>
      <c r="N320" s="396"/>
      <c r="O320" s="396">
        <v>-840</v>
      </c>
      <c r="P320" s="562">
        <v>-3750</v>
      </c>
      <c r="Q320" s="361">
        <f t="shared" si="57"/>
        <v>-5620</v>
      </c>
    </row>
    <row r="321" spans="1:17" s="750" customFormat="1" ht="15" customHeight="1">
      <c r="A321" s="2058"/>
      <c r="B321" s="2036"/>
      <c r="C321" s="2029"/>
      <c r="D321" s="409" t="s">
        <v>452</v>
      </c>
      <c r="E321" s="394"/>
      <c r="F321" s="375"/>
      <c r="G321" s="375">
        <v>40</v>
      </c>
      <c r="H321" s="375"/>
      <c r="I321" s="375"/>
      <c r="J321" s="396"/>
      <c r="K321" s="371"/>
      <c r="L321" s="562"/>
      <c r="M321" s="396"/>
      <c r="N321" s="396"/>
      <c r="O321" s="396"/>
      <c r="P321" s="562"/>
      <c r="Q321" s="361">
        <f t="shared" si="57"/>
        <v>40</v>
      </c>
    </row>
    <row r="322" spans="1:17" s="750" customFormat="1" ht="15" customHeight="1">
      <c r="A322" s="2058"/>
      <c r="B322" s="2036"/>
      <c r="C322" s="2029"/>
      <c r="D322" s="409" t="s">
        <v>834</v>
      </c>
      <c r="E322" s="394">
        <v>1</v>
      </c>
      <c r="F322" s="375"/>
      <c r="G322" s="375"/>
      <c r="H322" s="375"/>
      <c r="I322" s="375"/>
      <c r="J322" s="396"/>
      <c r="K322" s="371"/>
      <c r="L322" s="562"/>
      <c r="M322" s="396"/>
      <c r="N322" s="396"/>
      <c r="O322" s="396"/>
      <c r="P322" s="562"/>
      <c r="Q322" s="361">
        <f t="shared" si="57"/>
        <v>1</v>
      </c>
    </row>
    <row r="323" spans="1:17" s="750" customFormat="1" ht="15" customHeight="1" hidden="1">
      <c r="A323" s="2058"/>
      <c r="B323" s="2036"/>
      <c r="C323" s="2029"/>
      <c r="D323" s="409" t="s">
        <v>532</v>
      </c>
      <c r="E323" s="394"/>
      <c r="F323" s="375"/>
      <c r="G323" s="375"/>
      <c r="H323" s="375"/>
      <c r="I323" s="375"/>
      <c r="J323" s="396"/>
      <c r="K323" s="371"/>
      <c r="L323" s="562"/>
      <c r="M323" s="396"/>
      <c r="N323" s="396"/>
      <c r="O323" s="396"/>
      <c r="P323" s="562"/>
      <c r="Q323" s="361">
        <f t="shared" si="57"/>
        <v>0</v>
      </c>
    </row>
    <row r="324" spans="1:17" s="750" customFormat="1" ht="15" customHeight="1" hidden="1">
      <c r="A324" s="2058"/>
      <c r="B324" s="2036"/>
      <c r="C324" s="2029"/>
      <c r="D324" s="409" t="s">
        <v>591</v>
      </c>
      <c r="E324" s="394"/>
      <c r="F324" s="375"/>
      <c r="G324" s="375"/>
      <c r="H324" s="375"/>
      <c r="I324" s="375"/>
      <c r="J324" s="396"/>
      <c r="K324" s="371"/>
      <c r="L324" s="562"/>
      <c r="M324" s="396"/>
      <c r="N324" s="396"/>
      <c r="O324" s="396"/>
      <c r="P324" s="562"/>
      <c r="Q324" s="361">
        <f t="shared" si="57"/>
        <v>0</v>
      </c>
    </row>
    <row r="325" spans="1:17" s="750" customFormat="1" ht="15" customHeight="1" hidden="1">
      <c r="A325" s="2058"/>
      <c r="B325" s="2036"/>
      <c r="C325" s="2029"/>
      <c r="D325" s="409" t="s">
        <v>1149</v>
      </c>
      <c r="E325" s="394"/>
      <c r="F325" s="375"/>
      <c r="G325" s="375"/>
      <c r="H325" s="375"/>
      <c r="I325" s="375"/>
      <c r="J325" s="396"/>
      <c r="K325" s="371"/>
      <c r="L325" s="562"/>
      <c r="M325" s="396"/>
      <c r="N325" s="396"/>
      <c r="O325" s="396"/>
      <c r="P325" s="562"/>
      <c r="Q325" s="361">
        <f t="shared" si="57"/>
        <v>0</v>
      </c>
    </row>
    <row r="326" spans="1:17" s="750" customFormat="1" ht="15" customHeight="1">
      <c r="A326" s="2058"/>
      <c r="B326" s="2036"/>
      <c r="C326" s="2029"/>
      <c r="D326" s="409" t="s">
        <v>828</v>
      </c>
      <c r="E326" s="394">
        <v>-420</v>
      </c>
      <c r="F326" s="375"/>
      <c r="G326" s="375"/>
      <c r="H326" s="375"/>
      <c r="I326" s="376"/>
      <c r="J326" s="396"/>
      <c r="K326" s="371"/>
      <c r="L326" s="556"/>
      <c r="M326" s="396"/>
      <c r="N326" s="396"/>
      <c r="O326" s="396"/>
      <c r="P326" s="562"/>
      <c r="Q326" s="361">
        <f t="shared" si="57"/>
        <v>-420</v>
      </c>
    </row>
    <row r="327" spans="1:19" s="751" customFormat="1" ht="15" customHeight="1" thickBot="1">
      <c r="A327" s="2059"/>
      <c r="B327" s="2038"/>
      <c r="C327" s="2031"/>
      <c r="D327" s="423" t="s">
        <v>446</v>
      </c>
      <c r="E327" s="430">
        <f>SUM(E315:E326)</f>
        <v>2281</v>
      </c>
      <c r="F327" s="413">
        <f>SUM(F315:F326)</f>
        <v>2220</v>
      </c>
      <c r="G327" s="413">
        <f>SUM(G315:G326)</f>
        <v>2170</v>
      </c>
      <c r="H327" s="413">
        <f aca="true" t="shared" si="58" ref="H327:P327">SUM(H315:H326)</f>
        <v>-210</v>
      </c>
      <c r="I327" s="413">
        <f t="shared" si="58"/>
        <v>3918</v>
      </c>
      <c r="J327" s="413">
        <f t="shared" si="58"/>
        <v>1284</v>
      </c>
      <c r="K327" s="413">
        <f t="shared" si="58"/>
        <v>4160</v>
      </c>
      <c r="L327" s="413">
        <f t="shared" si="58"/>
        <v>4710</v>
      </c>
      <c r="M327" s="413">
        <f t="shared" si="58"/>
        <v>720</v>
      </c>
      <c r="N327" s="413">
        <f t="shared" si="58"/>
        <v>0</v>
      </c>
      <c r="O327" s="413">
        <f t="shared" si="58"/>
        <v>2415</v>
      </c>
      <c r="P327" s="571">
        <f t="shared" si="58"/>
        <v>-3750</v>
      </c>
      <c r="Q327" s="431">
        <f>SUM(Q315:Q326)</f>
        <v>19918</v>
      </c>
      <c r="R327" s="753">
        <f>Q310+Q314+Q327</f>
        <v>0</v>
      </c>
      <c r="S327" s="750"/>
    </row>
    <row r="328" spans="1:19" s="752" customFormat="1" ht="4.5" customHeight="1" thickBot="1">
      <c r="A328" s="1162"/>
      <c r="B328" s="1165"/>
      <c r="C328" s="1163"/>
      <c r="D328" s="425"/>
      <c r="E328" s="385"/>
      <c r="F328" s="383"/>
      <c r="G328" s="383"/>
      <c r="H328" s="383"/>
      <c r="I328" s="383"/>
      <c r="J328" s="383"/>
      <c r="K328" s="558"/>
      <c r="L328" s="564"/>
      <c r="M328" s="385"/>
      <c r="N328" s="383"/>
      <c r="O328" s="383"/>
      <c r="P328" s="558"/>
      <c r="Q328" s="386"/>
      <c r="S328" s="750"/>
    </row>
    <row r="329" spans="1:17" s="750" customFormat="1" ht="15" customHeight="1">
      <c r="A329" s="2057">
        <v>15</v>
      </c>
      <c r="B329" s="2035" t="s">
        <v>658</v>
      </c>
      <c r="C329" s="2028" t="s">
        <v>435</v>
      </c>
      <c r="D329" s="415" t="s">
        <v>436</v>
      </c>
      <c r="E329" s="435">
        <v>0</v>
      </c>
      <c r="F329" s="435"/>
      <c r="G329" s="435"/>
      <c r="H329" s="435"/>
      <c r="I329" s="435"/>
      <c r="J329" s="435"/>
      <c r="K329" s="435"/>
      <c r="L329" s="435"/>
      <c r="M329" s="388"/>
      <c r="N329" s="436"/>
      <c r="O329" s="436"/>
      <c r="P329" s="572"/>
      <c r="Q329" s="390">
        <f>SUM(E329:P329)</f>
        <v>0</v>
      </c>
    </row>
    <row r="330" spans="1:17" s="750" customFormat="1" ht="15" customHeight="1">
      <c r="A330" s="2058"/>
      <c r="B330" s="2036"/>
      <c r="C330" s="2029"/>
      <c r="D330" s="426" t="s">
        <v>825</v>
      </c>
      <c r="E330" s="438">
        <v>0</v>
      </c>
      <c r="F330" s="438"/>
      <c r="G330" s="438"/>
      <c r="H330" s="438"/>
      <c r="I330" s="438"/>
      <c r="J330" s="438"/>
      <c r="K330" s="438"/>
      <c r="L330" s="438"/>
      <c r="M330" s="358"/>
      <c r="N330" s="362"/>
      <c r="O330" s="362"/>
      <c r="P330" s="554"/>
      <c r="Q330" s="359">
        <f>SUM(E330:P330)</f>
        <v>0</v>
      </c>
    </row>
    <row r="331" spans="1:17" s="750" customFormat="1" ht="15" customHeight="1">
      <c r="A331" s="2058"/>
      <c r="B331" s="2036"/>
      <c r="C331" s="2029"/>
      <c r="D331" s="426" t="s">
        <v>437</v>
      </c>
      <c r="E331" s="438">
        <v>0</v>
      </c>
      <c r="F331" s="438"/>
      <c r="G331" s="438"/>
      <c r="H331" s="438"/>
      <c r="I331" s="438"/>
      <c r="J331" s="438"/>
      <c r="K331" s="438"/>
      <c r="L331" s="438"/>
      <c r="M331" s="358"/>
      <c r="N331" s="358"/>
      <c r="O331" s="358"/>
      <c r="P331" s="554"/>
      <c r="Q331" s="361">
        <f>SUM(E331:P331)</f>
        <v>0</v>
      </c>
    </row>
    <row r="332" spans="1:17" s="750" customFormat="1" ht="15" customHeight="1">
      <c r="A332" s="2058"/>
      <c r="B332" s="2036"/>
      <c r="C332" s="2029"/>
      <c r="D332" s="410" t="s">
        <v>438</v>
      </c>
      <c r="E332" s="368">
        <f aca="true" t="shared" si="59" ref="E332:P332">SUM(E329:E331)</f>
        <v>0</v>
      </c>
      <c r="F332" s="368">
        <f t="shared" si="59"/>
        <v>0</v>
      </c>
      <c r="G332" s="368">
        <f t="shared" si="59"/>
        <v>0</v>
      </c>
      <c r="H332" s="368">
        <f t="shared" si="59"/>
        <v>0</v>
      </c>
      <c r="I332" s="368">
        <f t="shared" si="59"/>
        <v>0</v>
      </c>
      <c r="J332" s="368">
        <f t="shared" si="59"/>
        <v>0</v>
      </c>
      <c r="K332" s="368">
        <f t="shared" si="59"/>
        <v>0</v>
      </c>
      <c r="L332" s="368">
        <f t="shared" si="59"/>
        <v>0</v>
      </c>
      <c r="M332" s="368">
        <f t="shared" si="59"/>
        <v>0</v>
      </c>
      <c r="N332" s="365">
        <f t="shared" si="59"/>
        <v>0</v>
      </c>
      <c r="O332" s="365">
        <f t="shared" si="59"/>
        <v>0</v>
      </c>
      <c r="P332" s="561">
        <f t="shared" si="59"/>
        <v>0</v>
      </c>
      <c r="Q332" s="366">
        <f>SUM(Q329:Q331)</f>
        <v>0</v>
      </c>
    </row>
    <row r="333" spans="1:17" s="750" customFormat="1" ht="15" customHeight="1">
      <c r="A333" s="2058"/>
      <c r="B333" s="2036"/>
      <c r="C333" s="2029"/>
      <c r="D333" s="426" t="s">
        <v>439</v>
      </c>
      <c r="E333" s="438">
        <v>0</v>
      </c>
      <c r="F333" s="438"/>
      <c r="G333" s="438"/>
      <c r="H333" s="442"/>
      <c r="I333" s="442"/>
      <c r="J333" s="442"/>
      <c r="K333" s="442"/>
      <c r="L333" s="442"/>
      <c r="M333" s="442"/>
      <c r="N333" s="358"/>
      <c r="O333" s="358"/>
      <c r="P333" s="554"/>
      <c r="Q333" s="361">
        <f>SUM(E333:P333)</f>
        <v>0</v>
      </c>
    </row>
    <row r="334" spans="1:17" s="750" customFormat="1" ht="15" customHeight="1">
      <c r="A334" s="2058"/>
      <c r="B334" s="2036"/>
      <c r="C334" s="2029"/>
      <c r="D334" s="426" t="s">
        <v>826</v>
      </c>
      <c r="E334" s="438">
        <v>0</v>
      </c>
      <c r="F334" s="438"/>
      <c r="G334" s="438"/>
      <c r="H334" s="438"/>
      <c r="I334" s="438"/>
      <c r="J334" s="438"/>
      <c r="K334" s="438"/>
      <c r="L334" s="438"/>
      <c r="M334" s="438"/>
      <c r="N334" s="358"/>
      <c r="O334" s="358"/>
      <c r="P334" s="554"/>
      <c r="Q334" s="361">
        <f>SUM(E334:P334)</f>
        <v>0</v>
      </c>
    </row>
    <row r="335" spans="1:17" s="750" customFormat="1" ht="15" customHeight="1">
      <c r="A335" s="2058"/>
      <c r="B335" s="2036"/>
      <c r="C335" s="2029"/>
      <c r="D335" s="426" t="s">
        <v>440</v>
      </c>
      <c r="E335" s="438">
        <v>0</v>
      </c>
      <c r="F335" s="438"/>
      <c r="G335" s="438"/>
      <c r="H335" s="438"/>
      <c r="I335" s="438"/>
      <c r="J335" s="438"/>
      <c r="K335" s="438"/>
      <c r="L335" s="438"/>
      <c r="M335" s="438"/>
      <c r="N335" s="358"/>
      <c r="O335" s="358"/>
      <c r="P335" s="554"/>
      <c r="Q335" s="361">
        <f>SUM(E335:P335)</f>
        <v>0</v>
      </c>
    </row>
    <row r="336" spans="1:17" s="750" customFormat="1" ht="15" customHeight="1">
      <c r="A336" s="2058"/>
      <c r="B336" s="2036"/>
      <c r="C336" s="2030"/>
      <c r="D336" s="410" t="s">
        <v>441</v>
      </c>
      <c r="E336" s="449">
        <f aca="true" t="shared" si="60" ref="E336:P336">SUM(E333:E335)</f>
        <v>0</v>
      </c>
      <c r="F336" s="449">
        <f t="shared" si="60"/>
        <v>0</v>
      </c>
      <c r="G336" s="449">
        <f t="shared" si="60"/>
        <v>0</v>
      </c>
      <c r="H336" s="449">
        <f t="shared" si="60"/>
        <v>0</v>
      </c>
      <c r="I336" s="449">
        <f t="shared" si="60"/>
        <v>0</v>
      </c>
      <c r="J336" s="368">
        <f t="shared" si="60"/>
        <v>0</v>
      </c>
      <c r="K336" s="449">
        <f t="shared" si="60"/>
        <v>0</v>
      </c>
      <c r="L336" s="582">
        <f t="shared" si="60"/>
        <v>0</v>
      </c>
      <c r="M336" s="365">
        <f t="shared" si="60"/>
        <v>0</v>
      </c>
      <c r="N336" s="365">
        <f t="shared" si="60"/>
        <v>0</v>
      </c>
      <c r="O336" s="365">
        <f t="shared" si="60"/>
        <v>0</v>
      </c>
      <c r="P336" s="561">
        <f t="shared" si="60"/>
        <v>0</v>
      </c>
      <c r="Q336" s="366">
        <f>SUM(Q333:Q335)</f>
        <v>0</v>
      </c>
    </row>
    <row r="337" spans="1:17" s="750" customFormat="1" ht="15" customHeight="1">
      <c r="A337" s="2058"/>
      <c r="B337" s="2036"/>
      <c r="C337" s="2060" t="s">
        <v>444</v>
      </c>
      <c r="D337" s="409" t="s">
        <v>451</v>
      </c>
      <c r="E337" s="375">
        <v>1275</v>
      </c>
      <c r="F337" s="375">
        <v>905</v>
      </c>
      <c r="G337" s="375">
        <v>1443</v>
      </c>
      <c r="H337" s="375">
        <v>1096</v>
      </c>
      <c r="I337" s="375">
        <v>889</v>
      </c>
      <c r="J337" s="396">
        <v>999</v>
      </c>
      <c r="K337" s="375">
        <v>1011</v>
      </c>
      <c r="L337" s="450">
        <v>1058</v>
      </c>
      <c r="M337" s="427">
        <v>747</v>
      </c>
      <c r="N337" s="371">
        <v>617</v>
      </c>
      <c r="O337" s="371"/>
      <c r="P337" s="556"/>
      <c r="Q337" s="361">
        <f>SUM(E337:P337)</f>
        <v>10040</v>
      </c>
    </row>
    <row r="338" spans="1:17" s="750" customFormat="1" ht="15" customHeight="1">
      <c r="A338" s="2058"/>
      <c r="B338" s="2036"/>
      <c r="C338" s="2029"/>
      <c r="D338" s="422" t="s">
        <v>740</v>
      </c>
      <c r="E338" s="375"/>
      <c r="F338" s="375"/>
      <c r="G338" s="375"/>
      <c r="H338" s="375"/>
      <c r="I338" s="375"/>
      <c r="J338" s="396"/>
      <c r="K338" s="375"/>
      <c r="L338" s="450"/>
      <c r="M338" s="427"/>
      <c r="N338" s="371"/>
      <c r="O338" s="371"/>
      <c r="P338" s="556"/>
      <c r="Q338" s="361">
        <f>SUM(E338:P338)</f>
        <v>0</v>
      </c>
    </row>
    <row r="339" spans="1:17" s="750" customFormat="1" ht="15" customHeight="1">
      <c r="A339" s="2058"/>
      <c r="B339" s="2036"/>
      <c r="C339" s="2029"/>
      <c r="D339" s="422" t="s">
        <v>460</v>
      </c>
      <c r="E339" s="375"/>
      <c r="F339" s="375"/>
      <c r="G339" s="375"/>
      <c r="H339" s="375"/>
      <c r="I339" s="375"/>
      <c r="J339" s="396"/>
      <c r="K339" s="375"/>
      <c r="L339" s="450"/>
      <c r="M339" s="427"/>
      <c r="N339" s="371"/>
      <c r="O339" s="371"/>
      <c r="P339" s="556"/>
      <c r="Q339" s="361">
        <f>SUM(E339:P339)</f>
        <v>0</v>
      </c>
    </row>
    <row r="340" spans="1:17" s="750" customFormat="1" ht="15" customHeight="1">
      <c r="A340" s="2058"/>
      <c r="B340" s="2036"/>
      <c r="C340" s="2029"/>
      <c r="D340" s="422" t="s">
        <v>1148</v>
      </c>
      <c r="E340" s="375">
        <v>-1275</v>
      </c>
      <c r="F340" s="375">
        <v>-905</v>
      </c>
      <c r="G340" s="375">
        <v>-1443</v>
      </c>
      <c r="H340" s="375">
        <v>-1096</v>
      </c>
      <c r="I340" s="375">
        <v>-889</v>
      </c>
      <c r="J340" s="396">
        <v>-999</v>
      </c>
      <c r="K340" s="375">
        <v>-1011</v>
      </c>
      <c r="L340" s="450">
        <v>-1058</v>
      </c>
      <c r="M340" s="427">
        <v>-747</v>
      </c>
      <c r="N340" s="371">
        <v>-617</v>
      </c>
      <c r="O340" s="371"/>
      <c r="P340" s="556"/>
      <c r="Q340" s="361">
        <f>SUM(E340:P340)</f>
        <v>-10040</v>
      </c>
    </row>
    <row r="341" spans="1:17" s="750" customFormat="1" ht="15" customHeight="1" hidden="1">
      <c r="A341" s="2058"/>
      <c r="B341" s="2036"/>
      <c r="C341" s="2029"/>
      <c r="D341" s="422" t="s">
        <v>838</v>
      </c>
      <c r="E341" s="375"/>
      <c r="F341" s="375"/>
      <c r="G341" s="375"/>
      <c r="H341" s="375"/>
      <c r="I341" s="375"/>
      <c r="J341" s="396"/>
      <c r="K341" s="375"/>
      <c r="L341" s="450"/>
      <c r="M341" s="427"/>
      <c r="N341" s="371"/>
      <c r="O341" s="371"/>
      <c r="P341" s="556"/>
      <c r="Q341" s="361">
        <f>SUM(E341:P341)</f>
        <v>0</v>
      </c>
    </row>
    <row r="342" spans="1:17" s="750" customFormat="1" ht="15" customHeight="1" hidden="1">
      <c r="A342" s="2058"/>
      <c r="B342" s="2036"/>
      <c r="C342" s="2029"/>
      <c r="D342" s="422" t="s">
        <v>839</v>
      </c>
      <c r="E342" s="375"/>
      <c r="F342" s="375"/>
      <c r="G342" s="375"/>
      <c r="H342" s="375"/>
      <c r="I342" s="375"/>
      <c r="J342" s="396"/>
      <c r="K342" s="375"/>
      <c r="L342" s="450"/>
      <c r="M342" s="427"/>
      <c r="N342" s="371"/>
      <c r="O342" s="371"/>
      <c r="P342" s="371"/>
      <c r="Q342" s="361">
        <f>SUM(E342:P342)</f>
        <v>0</v>
      </c>
    </row>
    <row r="343" spans="1:18" s="751" customFormat="1" ht="15" customHeight="1" thickBot="1">
      <c r="A343" s="2059"/>
      <c r="B343" s="2038"/>
      <c r="C343" s="2031"/>
      <c r="D343" s="423" t="s">
        <v>446</v>
      </c>
      <c r="E343" s="413">
        <f>SUM(E337:E342)</f>
        <v>0</v>
      </c>
      <c r="F343" s="413">
        <f>SUM(F337:F342)</f>
        <v>0</v>
      </c>
      <c r="G343" s="413">
        <f>SUM(G337:G342)</f>
        <v>0</v>
      </c>
      <c r="H343" s="413">
        <f aca="true" t="shared" si="61" ref="H343:M343">SUM(H337:H342)</f>
        <v>0</v>
      </c>
      <c r="I343" s="413">
        <f t="shared" si="61"/>
        <v>0</v>
      </c>
      <c r="J343" s="413">
        <f t="shared" si="61"/>
        <v>0</v>
      </c>
      <c r="K343" s="413">
        <f t="shared" si="61"/>
        <v>0</v>
      </c>
      <c r="L343" s="413">
        <f t="shared" si="61"/>
        <v>0</v>
      </c>
      <c r="M343" s="413">
        <f t="shared" si="61"/>
        <v>0</v>
      </c>
      <c r="N343" s="413">
        <f>SUM(N337:N342)</f>
        <v>0</v>
      </c>
      <c r="O343" s="413">
        <f>SUM(O337:O342)</f>
        <v>0</v>
      </c>
      <c r="P343" s="413">
        <f>SUM(P337:P342)</f>
        <v>0</v>
      </c>
      <c r="Q343" s="431">
        <f>SUM(Q337:Q342)</f>
        <v>0</v>
      </c>
      <c r="R343" s="753">
        <f>Q332+Q336+Q343</f>
        <v>0</v>
      </c>
    </row>
    <row r="344" spans="1:19" s="752" customFormat="1" ht="4.5" customHeight="1" thickBot="1">
      <c r="A344" s="1162"/>
      <c r="B344" s="1165"/>
      <c r="C344" s="1163"/>
      <c r="D344" s="425"/>
      <c r="E344" s="385"/>
      <c r="F344" s="383"/>
      <c r="G344" s="383"/>
      <c r="H344" s="383"/>
      <c r="I344" s="383"/>
      <c r="J344" s="383"/>
      <c r="K344" s="558"/>
      <c r="L344" s="564"/>
      <c r="M344" s="385"/>
      <c r="N344" s="383"/>
      <c r="O344" s="383"/>
      <c r="P344" s="558"/>
      <c r="Q344" s="386"/>
      <c r="S344" s="750"/>
    </row>
    <row r="345" spans="1:17" s="750" customFormat="1" ht="15" customHeight="1">
      <c r="A345" s="2057">
        <v>16</v>
      </c>
      <c r="B345" s="2035" t="s">
        <v>844</v>
      </c>
      <c r="C345" s="2028" t="s">
        <v>435</v>
      </c>
      <c r="D345" s="415" t="s">
        <v>436</v>
      </c>
      <c r="E345" s="435"/>
      <c r="F345" s="435"/>
      <c r="G345" s="435"/>
      <c r="H345" s="435"/>
      <c r="I345" s="435"/>
      <c r="J345" s="435"/>
      <c r="K345" s="435"/>
      <c r="L345" s="435"/>
      <c r="M345" s="388"/>
      <c r="N345" s="436"/>
      <c r="O345" s="436"/>
      <c r="P345" s="572">
        <v>0</v>
      </c>
      <c r="Q345" s="390">
        <f>SUM(E345:P345)</f>
        <v>0</v>
      </c>
    </row>
    <row r="346" spans="1:17" s="750" customFormat="1" ht="15" customHeight="1">
      <c r="A346" s="2058"/>
      <c r="B346" s="2036"/>
      <c r="C346" s="2029"/>
      <c r="D346" s="426" t="s">
        <v>825</v>
      </c>
      <c r="E346" s="438"/>
      <c r="F346" s="438"/>
      <c r="G346" s="438"/>
      <c r="H346" s="438"/>
      <c r="I346" s="438"/>
      <c r="J346" s="438"/>
      <c r="K346" s="438"/>
      <c r="L346" s="438"/>
      <c r="M346" s="358"/>
      <c r="N346" s="362"/>
      <c r="O346" s="362"/>
      <c r="P346" s="554">
        <v>0</v>
      </c>
      <c r="Q346" s="359">
        <f>SUM(E346:P346)</f>
        <v>0</v>
      </c>
    </row>
    <row r="347" spans="1:17" s="750" customFormat="1" ht="15" customHeight="1">
      <c r="A347" s="2058"/>
      <c r="B347" s="2036"/>
      <c r="C347" s="2029"/>
      <c r="D347" s="426" t="s">
        <v>437</v>
      </c>
      <c r="E347" s="438"/>
      <c r="F347" s="438"/>
      <c r="G347" s="438"/>
      <c r="H347" s="438"/>
      <c r="I347" s="438"/>
      <c r="J347" s="438"/>
      <c r="K347" s="438"/>
      <c r="L347" s="438"/>
      <c r="M347" s="358"/>
      <c r="N347" s="358"/>
      <c r="O347" s="358"/>
      <c r="P347" s="554">
        <v>-17</v>
      </c>
      <c r="Q347" s="361">
        <f>SUM(E347:P347)</f>
        <v>-17</v>
      </c>
    </row>
    <row r="348" spans="1:17" s="750" customFormat="1" ht="15" customHeight="1">
      <c r="A348" s="2058"/>
      <c r="B348" s="2036"/>
      <c r="C348" s="2029"/>
      <c r="D348" s="410" t="s">
        <v>438</v>
      </c>
      <c r="E348" s="368">
        <f aca="true" t="shared" si="62" ref="E348:P348">SUM(E345:E347)</f>
        <v>0</v>
      </c>
      <c r="F348" s="368">
        <f t="shared" si="62"/>
        <v>0</v>
      </c>
      <c r="G348" s="368">
        <f t="shared" si="62"/>
        <v>0</v>
      </c>
      <c r="H348" s="368">
        <f t="shared" si="62"/>
        <v>0</v>
      </c>
      <c r="I348" s="368">
        <f t="shared" si="62"/>
        <v>0</v>
      </c>
      <c r="J348" s="368">
        <f t="shared" si="62"/>
        <v>0</v>
      </c>
      <c r="K348" s="368">
        <f t="shared" si="62"/>
        <v>0</v>
      </c>
      <c r="L348" s="368">
        <f t="shared" si="62"/>
        <v>0</v>
      </c>
      <c r="M348" s="368">
        <f t="shared" si="62"/>
        <v>0</v>
      </c>
      <c r="N348" s="365">
        <f t="shared" si="62"/>
        <v>0</v>
      </c>
      <c r="O348" s="365">
        <f t="shared" si="62"/>
        <v>0</v>
      </c>
      <c r="P348" s="561">
        <f t="shared" si="62"/>
        <v>-17</v>
      </c>
      <c r="Q348" s="366">
        <f>SUM(Q345:Q347)</f>
        <v>-17</v>
      </c>
    </row>
    <row r="349" spans="1:17" s="750" customFormat="1" ht="15" customHeight="1">
      <c r="A349" s="2058"/>
      <c r="B349" s="2036"/>
      <c r="C349" s="2029"/>
      <c r="D349" s="426" t="s">
        <v>439</v>
      </c>
      <c r="E349" s="438"/>
      <c r="F349" s="438"/>
      <c r="G349" s="438"/>
      <c r="H349" s="442"/>
      <c r="I349" s="442"/>
      <c r="J349" s="442"/>
      <c r="K349" s="442"/>
      <c r="L349" s="442"/>
      <c r="M349" s="442"/>
      <c r="N349" s="358"/>
      <c r="O349" s="358"/>
      <c r="P349" s="554">
        <v>0</v>
      </c>
      <c r="Q349" s="361">
        <f>SUM(E349:P349)</f>
        <v>0</v>
      </c>
    </row>
    <row r="350" spans="1:17" s="750" customFormat="1" ht="15" customHeight="1">
      <c r="A350" s="2058"/>
      <c r="B350" s="2036"/>
      <c r="C350" s="2029"/>
      <c r="D350" s="426" t="s">
        <v>826</v>
      </c>
      <c r="E350" s="438"/>
      <c r="F350" s="438"/>
      <c r="G350" s="438"/>
      <c r="H350" s="438"/>
      <c r="I350" s="438"/>
      <c r="J350" s="438"/>
      <c r="K350" s="438"/>
      <c r="L350" s="438"/>
      <c r="M350" s="438"/>
      <c r="N350" s="358"/>
      <c r="O350" s="358"/>
      <c r="P350" s="554">
        <v>0</v>
      </c>
      <c r="Q350" s="361">
        <f>SUM(E350:P350)</f>
        <v>0</v>
      </c>
    </row>
    <row r="351" spans="1:17" s="750" customFormat="1" ht="15" customHeight="1">
      <c r="A351" s="2058"/>
      <c r="B351" s="2036"/>
      <c r="C351" s="2029"/>
      <c r="D351" s="426" t="s">
        <v>440</v>
      </c>
      <c r="E351" s="438"/>
      <c r="F351" s="438"/>
      <c r="G351" s="438"/>
      <c r="H351" s="438"/>
      <c r="I351" s="438"/>
      <c r="J351" s="438"/>
      <c r="K351" s="438"/>
      <c r="L351" s="438"/>
      <c r="M351" s="438"/>
      <c r="N351" s="358"/>
      <c r="O351" s="358"/>
      <c r="P351" s="554">
        <v>215</v>
      </c>
      <c r="Q351" s="361">
        <f>SUM(E351:P351)</f>
        <v>215</v>
      </c>
    </row>
    <row r="352" spans="1:17" s="750" customFormat="1" ht="15" customHeight="1">
      <c r="A352" s="2058"/>
      <c r="B352" s="2036"/>
      <c r="C352" s="2030"/>
      <c r="D352" s="410" t="s">
        <v>441</v>
      </c>
      <c r="E352" s="449">
        <f aca="true" t="shared" si="63" ref="E352:P352">SUM(E349:E351)</f>
        <v>0</v>
      </c>
      <c r="F352" s="449">
        <f t="shared" si="63"/>
        <v>0</v>
      </c>
      <c r="G352" s="449">
        <f t="shared" si="63"/>
        <v>0</v>
      </c>
      <c r="H352" s="449">
        <f t="shared" si="63"/>
        <v>0</v>
      </c>
      <c r="I352" s="449">
        <f t="shared" si="63"/>
        <v>0</v>
      </c>
      <c r="J352" s="368">
        <f t="shared" si="63"/>
        <v>0</v>
      </c>
      <c r="K352" s="368">
        <f t="shared" si="63"/>
        <v>0</v>
      </c>
      <c r="L352" s="368">
        <f t="shared" si="63"/>
        <v>0</v>
      </c>
      <c r="M352" s="365">
        <f t="shared" si="63"/>
        <v>0</v>
      </c>
      <c r="N352" s="365">
        <f t="shared" si="63"/>
        <v>0</v>
      </c>
      <c r="O352" s="365">
        <f t="shared" si="63"/>
        <v>0</v>
      </c>
      <c r="P352" s="561">
        <f t="shared" si="63"/>
        <v>215</v>
      </c>
      <c r="Q352" s="366">
        <f>SUM(Q349:Q351)</f>
        <v>215</v>
      </c>
    </row>
    <row r="353" spans="1:17" s="750" customFormat="1" ht="15" customHeight="1">
      <c r="A353" s="2058"/>
      <c r="B353" s="2036"/>
      <c r="C353" s="2060" t="s">
        <v>653</v>
      </c>
      <c r="D353" s="370" t="s">
        <v>654</v>
      </c>
      <c r="E353" s="412"/>
      <c r="F353" s="371"/>
      <c r="G353" s="371"/>
      <c r="H353" s="371"/>
      <c r="I353" s="371"/>
      <c r="J353" s="371"/>
      <c r="K353" s="371"/>
      <c r="L353" s="371"/>
      <c r="M353" s="578"/>
      <c r="N353" s="371"/>
      <c r="O353" s="371"/>
      <c r="P353" s="371">
        <v>198</v>
      </c>
      <c r="Q353" s="361">
        <f>SUM(E353:P353)</f>
        <v>198</v>
      </c>
    </row>
    <row r="354" spans="1:17" s="751" customFormat="1" ht="15" customHeight="1">
      <c r="A354" s="2058"/>
      <c r="B354" s="2036"/>
      <c r="C354" s="2029"/>
      <c r="D354" s="363" t="s">
        <v>443</v>
      </c>
      <c r="E354" s="418">
        <f aca="true" t="shared" si="64" ref="E354:P354">SUM(E353)</f>
        <v>0</v>
      </c>
      <c r="F354" s="368">
        <f t="shared" si="64"/>
        <v>0</v>
      </c>
      <c r="G354" s="368">
        <f t="shared" si="64"/>
        <v>0</v>
      </c>
      <c r="H354" s="368">
        <f t="shared" si="64"/>
        <v>0</v>
      </c>
      <c r="I354" s="368">
        <f t="shared" si="64"/>
        <v>0</v>
      </c>
      <c r="J354" s="368">
        <f t="shared" si="64"/>
        <v>0</v>
      </c>
      <c r="K354" s="368">
        <f t="shared" si="64"/>
        <v>0</v>
      </c>
      <c r="L354" s="368">
        <f t="shared" si="64"/>
        <v>0</v>
      </c>
      <c r="M354" s="368">
        <f t="shared" si="64"/>
        <v>0</v>
      </c>
      <c r="N354" s="368">
        <f t="shared" si="64"/>
        <v>0</v>
      </c>
      <c r="O354" s="368">
        <f t="shared" si="64"/>
        <v>0</v>
      </c>
      <c r="P354" s="563">
        <f t="shared" si="64"/>
        <v>198</v>
      </c>
      <c r="Q354" s="373">
        <f>SUM(Q353:Q353)</f>
        <v>198</v>
      </c>
    </row>
    <row r="355" spans="1:17" s="750" customFormat="1" ht="15" customHeight="1">
      <c r="A355" s="2058"/>
      <c r="B355" s="2036"/>
      <c r="C355" s="2030"/>
      <c r="D355" s="409" t="s">
        <v>451</v>
      </c>
      <c r="E355" s="446">
        <v>331.5999999999999</v>
      </c>
      <c r="F355" s="371">
        <v>147.4</v>
      </c>
      <c r="G355" s="371">
        <v>42.599999999999994</v>
      </c>
      <c r="H355" s="371"/>
      <c r="I355" s="371"/>
      <c r="J355" s="371"/>
      <c r="K355" s="371"/>
      <c r="L355" s="371"/>
      <c r="M355" s="578"/>
      <c r="N355" s="371"/>
      <c r="O355" s="371"/>
      <c r="P355" s="556"/>
      <c r="Q355" s="361">
        <f>SUM(E355:P355)</f>
        <v>521.5999999999999</v>
      </c>
    </row>
    <row r="356" spans="1:17" s="750" customFormat="1" ht="15" customHeight="1">
      <c r="A356" s="2058"/>
      <c r="B356" s="2036"/>
      <c r="C356" s="2029"/>
      <c r="D356" s="409" t="s">
        <v>733</v>
      </c>
      <c r="E356" s="406"/>
      <c r="F356" s="406"/>
      <c r="G356" s="406"/>
      <c r="H356" s="406"/>
      <c r="I356" s="406"/>
      <c r="J356" s="586"/>
      <c r="K356" s="406"/>
      <c r="L356" s="587"/>
      <c r="M356" s="587"/>
      <c r="N356" s="399"/>
      <c r="O356" s="371"/>
      <c r="P356" s="556"/>
      <c r="Q356" s="400">
        <f>SUM(E356:P356)</f>
        <v>0</v>
      </c>
    </row>
    <row r="357" spans="1:17" s="750" customFormat="1" ht="15" customHeight="1">
      <c r="A357" s="2058"/>
      <c r="B357" s="2036"/>
      <c r="C357" s="2029"/>
      <c r="D357" s="409" t="s">
        <v>445</v>
      </c>
      <c r="E357" s="406"/>
      <c r="F357" s="406">
        <v>1680</v>
      </c>
      <c r="G357" s="406"/>
      <c r="H357" s="406"/>
      <c r="I357" s="406"/>
      <c r="J357" s="586"/>
      <c r="K357" s="406"/>
      <c r="L357" s="587"/>
      <c r="M357" s="587"/>
      <c r="N357" s="399"/>
      <c r="O357" s="371"/>
      <c r="P357" s="556"/>
      <c r="Q357" s="400">
        <f>SUM(E357:P357)</f>
        <v>1680</v>
      </c>
    </row>
    <row r="358" spans="1:17" s="750" customFormat="1" ht="15" customHeight="1">
      <c r="A358" s="2058"/>
      <c r="B358" s="2036"/>
      <c r="C358" s="2029"/>
      <c r="D358" s="409" t="s">
        <v>836</v>
      </c>
      <c r="E358" s="406"/>
      <c r="F358" s="406"/>
      <c r="G358" s="406"/>
      <c r="H358" s="406"/>
      <c r="I358" s="406"/>
      <c r="J358" s="586"/>
      <c r="K358" s="406"/>
      <c r="L358" s="587"/>
      <c r="M358" s="587"/>
      <c r="N358" s="399"/>
      <c r="O358" s="371"/>
      <c r="P358" s="556"/>
      <c r="Q358" s="400">
        <f>SUM(E358:P358)</f>
        <v>0</v>
      </c>
    </row>
    <row r="359" spans="1:17" s="750" customFormat="1" ht="15" customHeight="1">
      <c r="A359" s="2058"/>
      <c r="B359" s="2036"/>
      <c r="C359" s="2029"/>
      <c r="D359" s="409" t="s">
        <v>740</v>
      </c>
      <c r="E359" s="406"/>
      <c r="F359" s="406">
        <v>-1680</v>
      </c>
      <c r="G359" s="406"/>
      <c r="H359" s="406"/>
      <c r="I359" s="406"/>
      <c r="J359" s="586"/>
      <c r="K359" s="406"/>
      <c r="L359" s="587"/>
      <c r="M359" s="587"/>
      <c r="N359" s="399"/>
      <c r="O359" s="371"/>
      <c r="P359" s="556"/>
      <c r="Q359" s="400">
        <f>SUM(E359:P359)</f>
        <v>-1680</v>
      </c>
    </row>
    <row r="360" spans="1:17" s="750" customFormat="1" ht="15" customHeight="1">
      <c r="A360" s="2058"/>
      <c r="B360" s="2036"/>
      <c r="C360" s="2029"/>
      <c r="D360" s="409" t="s">
        <v>545</v>
      </c>
      <c r="E360" s="406">
        <v>-331.5999999999999</v>
      </c>
      <c r="F360" s="406">
        <v>-147.4</v>
      </c>
      <c r="G360" s="406">
        <v>-42.599999999999994</v>
      </c>
      <c r="H360" s="406"/>
      <c r="I360" s="406"/>
      <c r="J360" s="586"/>
      <c r="K360" s="406"/>
      <c r="L360" s="588"/>
      <c r="M360" s="587"/>
      <c r="N360" s="399"/>
      <c r="O360" s="399"/>
      <c r="P360" s="684"/>
      <c r="Q360" s="400">
        <f>SUM(E360:P360)</f>
        <v>-521.5999999999999</v>
      </c>
    </row>
    <row r="361" spans="1:18" s="751" customFormat="1" ht="15" customHeight="1" thickBot="1">
      <c r="A361" s="2059"/>
      <c r="B361" s="2038"/>
      <c r="C361" s="2031"/>
      <c r="D361" s="423" t="s">
        <v>446</v>
      </c>
      <c r="E361" s="430">
        <f>SUM(E355:E360)</f>
        <v>0</v>
      </c>
      <c r="F361" s="430">
        <f aca="true" t="shared" si="65" ref="F361:P361">SUM(F355:F360)</f>
        <v>0</v>
      </c>
      <c r="G361" s="430">
        <f t="shared" si="65"/>
        <v>0</v>
      </c>
      <c r="H361" s="430">
        <f t="shared" si="65"/>
        <v>0</v>
      </c>
      <c r="I361" s="430">
        <f t="shared" si="65"/>
        <v>0</v>
      </c>
      <c r="J361" s="430">
        <f t="shared" si="65"/>
        <v>0</v>
      </c>
      <c r="K361" s="430">
        <f t="shared" si="65"/>
        <v>0</v>
      </c>
      <c r="L361" s="430">
        <f t="shared" si="65"/>
        <v>0</v>
      </c>
      <c r="M361" s="430">
        <f t="shared" si="65"/>
        <v>0</v>
      </c>
      <c r="N361" s="430">
        <f t="shared" si="65"/>
        <v>0</v>
      </c>
      <c r="O361" s="430">
        <f t="shared" si="65"/>
        <v>0</v>
      </c>
      <c r="P361" s="430">
        <f t="shared" si="65"/>
        <v>0</v>
      </c>
      <c r="Q361" s="431">
        <f>SUM(Q355:Q360)</f>
        <v>0</v>
      </c>
      <c r="R361" s="753">
        <f>Q348+Q352+Q361-Q354</f>
        <v>0</v>
      </c>
    </row>
    <row r="362" spans="1:17" s="752" customFormat="1" ht="4.5" customHeight="1" thickBot="1">
      <c r="A362" s="1162"/>
      <c r="B362" s="1165"/>
      <c r="C362" s="1163"/>
      <c r="D362" s="425"/>
      <c r="E362" s="385"/>
      <c r="F362" s="383"/>
      <c r="G362" s="383"/>
      <c r="H362" s="383"/>
      <c r="I362" s="383"/>
      <c r="J362" s="383"/>
      <c r="K362" s="558"/>
      <c r="L362" s="564"/>
      <c r="M362" s="385"/>
      <c r="N362" s="383"/>
      <c r="O362" s="383"/>
      <c r="P362" s="558"/>
      <c r="Q362" s="386"/>
    </row>
    <row r="363" spans="1:17" s="750" customFormat="1" ht="15" customHeight="1">
      <c r="A363" s="2057">
        <v>17</v>
      </c>
      <c r="B363" s="2035" t="s">
        <v>738</v>
      </c>
      <c r="C363" s="2028" t="s">
        <v>435</v>
      </c>
      <c r="D363" s="415" t="s">
        <v>436</v>
      </c>
      <c r="E363" s="435"/>
      <c r="F363" s="435"/>
      <c r="G363" s="435"/>
      <c r="H363" s="435">
        <v>-147</v>
      </c>
      <c r="I363" s="435">
        <v>-575</v>
      </c>
      <c r="J363" s="435">
        <v>-569</v>
      </c>
      <c r="K363" s="435"/>
      <c r="L363" s="435">
        <v>-1641</v>
      </c>
      <c r="M363" s="388">
        <v>-480</v>
      </c>
      <c r="N363" s="436">
        <v>-573</v>
      </c>
      <c r="O363" s="436">
        <v>-60</v>
      </c>
      <c r="P363" s="572"/>
      <c r="Q363" s="390">
        <f>SUM(E363:P363)</f>
        <v>-4045</v>
      </c>
    </row>
    <row r="364" spans="1:17" s="750" customFormat="1" ht="15" customHeight="1">
      <c r="A364" s="2058"/>
      <c r="B364" s="2036"/>
      <c r="C364" s="2029"/>
      <c r="D364" s="426" t="s">
        <v>825</v>
      </c>
      <c r="E364" s="438"/>
      <c r="F364" s="438"/>
      <c r="G364" s="438"/>
      <c r="H364" s="438">
        <v>0</v>
      </c>
      <c r="I364" s="438">
        <v>0</v>
      </c>
      <c r="J364" s="438">
        <v>0</v>
      </c>
      <c r="K364" s="438"/>
      <c r="L364" s="438">
        <v>0</v>
      </c>
      <c r="M364" s="358">
        <v>0</v>
      </c>
      <c r="N364" s="362">
        <v>0</v>
      </c>
      <c r="O364" s="362">
        <v>0</v>
      </c>
      <c r="P364" s="554"/>
      <c r="Q364" s="359">
        <f>SUM(E364:P364)</f>
        <v>0</v>
      </c>
    </row>
    <row r="365" spans="1:17" s="750" customFormat="1" ht="15" customHeight="1">
      <c r="A365" s="2058"/>
      <c r="B365" s="2036"/>
      <c r="C365" s="2029"/>
      <c r="D365" s="426" t="s">
        <v>437</v>
      </c>
      <c r="E365" s="438"/>
      <c r="F365" s="438"/>
      <c r="G365" s="438"/>
      <c r="H365" s="438">
        <v>0</v>
      </c>
      <c r="I365" s="438">
        <v>0</v>
      </c>
      <c r="J365" s="438">
        <v>-260</v>
      </c>
      <c r="K365" s="438"/>
      <c r="L365" s="438">
        <v>0</v>
      </c>
      <c r="M365" s="358">
        <v>0</v>
      </c>
      <c r="N365" s="358">
        <v>0</v>
      </c>
      <c r="O365" s="358">
        <v>-730</v>
      </c>
      <c r="P365" s="554"/>
      <c r="Q365" s="361">
        <f>SUM(E365:P365)</f>
        <v>-990</v>
      </c>
    </row>
    <row r="366" spans="1:17" s="750" customFormat="1" ht="15" customHeight="1">
      <c r="A366" s="2058"/>
      <c r="B366" s="2036"/>
      <c r="C366" s="2029"/>
      <c r="D366" s="410" t="s">
        <v>438</v>
      </c>
      <c r="E366" s="368">
        <f aca="true" t="shared" si="66" ref="E366:P366">SUM(E363:E365)</f>
        <v>0</v>
      </c>
      <c r="F366" s="368">
        <f t="shared" si="66"/>
        <v>0</v>
      </c>
      <c r="G366" s="368">
        <f t="shared" si="66"/>
        <v>0</v>
      </c>
      <c r="H366" s="368">
        <f t="shared" si="66"/>
        <v>-147</v>
      </c>
      <c r="I366" s="368">
        <f t="shared" si="66"/>
        <v>-575</v>
      </c>
      <c r="J366" s="368">
        <f t="shared" si="66"/>
        <v>-829</v>
      </c>
      <c r="K366" s="368">
        <f t="shared" si="66"/>
        <v>0</v>
      </c>
      <c r="L366" s="368">
        <f t="shared" si="66"/>
        <v>-1641</v>
      </c>
      <c r="M366" s="368">
        <f t="shared" si="66"/>
        <v>-480</v>
      </c>
      <c r="N366" s="365">
        <f t="shared" si="66"/>
        <v>-573</v>
      </c>
      <c r="O366" s="365">
        <f t="shared" si="66"/>
        <v>-790</v>
      </c>
      <c r="P366" s="561">
        <f t="shared" si="66"/>
        <v>0</v>
      </c>
      <c r="Q366" s="366">
        <f>SUM(Q363:Q365)</f>
        <v>-5035</v>
      </c>
    </row>
    <row r="367" spans="1:17" s="750" customFormat="1" ht="15" customHeight="1">
      <c r="A367" s="2058"/>
      <c r="B367" s="2036"/>
      <c r="C367" s="2029"/>
      <c r="D367" s="426" t="s">
        <v>439</v>
      </c>
      <c r="E367" s="438"/>
      <c r="F367" s="438"/>
      <c r="G367" s="438"/>
      <c r="H367" s="442">
        <v>0</v>
      </c>
      <c r="I367" s="442">
        <v>0</v>
      </c>
      <c r="J367" s="442">
        <v>260</v>
      </c>
      <c r="K367" s="442"/>
      <c r="L367" s="442">
        <v>0</v>
      </c>
      <c r="M367" s="442">
        <v>0</v>
      </c>
      <c r="N367" s="358">
        <v>0</v>
      </c>
      <c r="O367" s="358">
        <v>730</v>
      </c>
      <c r="P367" s="554"/>
      <c r="Q367" s="361">
        <f>SUM(E367:P367)</f>
        <v>990</v>
      </c>
    </row>
    <row r="368" spans="1:17" s="750" customFormat="1" ht="15" customHeight="1">
      <c r="A368" s="2058"/>
      <c r="B368" s="2036"/>
      <c r="C368" s="2029"/>
      <c r="D368" s="426" t="s">
        <v>826</v>
      </c>
      <c r="E368" s="438"/>
      <c r="F368" s="438"/>
      <c r="G368" s="438"/>
      <c r="H368" s="438">
        <v>0</v>
      </c>
      <c r="I368" s="438">
        <v>0</v>
      </c>
      <c r="J368" s="438">
        <v>0</v>
      </c>
      <c r="K368" s="438"/>
      <c r="L368" s="438">
        <v>0</v>
      </c>
      <c r="M368" s="438">
        <v>0</v>
      </c>
      <c r="N368" s="358">
        <v>0</v>
      </c>
      <c r="O368" s="358">
        <v>0</v>
      </c>
      <c r="P368" s="554"/>
      <c r="Q368" s="361">
        <f>SUM(E368:P368)</f>
        <v>0</v>
      </c>
    </row>
    <row r="369" spans="1:17" s="750" customFormat="1" ht="15" customHeight="1">
      <c r="A369" s="2058"/>
      <c r="B369" s="2036"/>
      <c r="C369" s="2029"/>
      <c r="D369" s="426" t="s">
        <v>440</v>
      </c>
      <c r="E369" s="438"/>
      <c r="F369" s="438"/>
      <c r="G369" s="438"/>
      <c r="H369" s="438">
        <v>147</v>
      </c>
      <c r="I369" s="438">
        <v>575</v>
      </c>
      <c r="J369" s="438">
        <v>569</v>
      </c>
      <c r="K369" s="438"/>
      <c r="L369" s="438">
        <v>1641</v>
      </c>
      <c r="M369" s="438">
        <v>480</v>
      </c>
      <c r="N369" s="358">
        <v>573</v>
      </c>
      <c r="O369" s="358">
        <v>60</v>
      </c>
      <c r="P369" s="554"/>
      <c r="Q369" s="361">
        <f>SUM(E369:P369)</f>
        <v>4045</v>
      </c>
    </row>
    <row r="370" spans="1:17" s="750" customFormat="1" ht="15" customHeight="1">
      <c r="A370" s="2058"/>
      <c r="B370" s="2036"/>
      <c r="C370" s="2030"/>
      <c r="D370" s="410" t="s">
        <v>441</v>
      </c>
      <c r="E370" s="449">
        <f aca="true" t="shared" si="67" ref="E370:P370">SUM(E367:E369)</f>
        <v>0</v>
      </c>
      <c r="F370" s="449">
        <f t="shared" si="67"/>
        <v>0</v>
      </c>
      <c r="G370" s="449">
        <f t="shared" si="67"/>
        <v>0</v>
      </c>
      <c r="H370" s="449">
        <f t="shared" si="67"/>
        <v>147</v>
      </c>
      <c r="I370" s="449">
        <f t="shared" si="67"/>
        <v>575</v>
      </c>
      <c r="J370" s="368">
        <f t="shared" si="67"/>
        <v>829</v>
      </c>
      <c r="K370" s="368">
        <f t="shared" si="67"/>
        <v>0</v>
      </c>
      <c r="L370" s="368">
        <f t="shared" si="67"/>
        <v>1641</v>
      </c>
      <c r="M370" s="365">
        <f t="shared" si="67"/>
        <v>480</v>
      </c>
      <c r="N370" s="365">
        <f t="shared" si="67"/>
        <v>573</v>
      </c>
      <c r="O370" s="365">
        <f t="shared" si="67"/>
        <v>790</v>
      </c>
      <c r="P370" s="561">
        <f t="shared" si="67"/>
        <v>0</v>
      </c>
      <c r="Q370" s="366">
        <f>SUM(Q367:Q369)</f>
        <v>5035</v>
      </c>
    </row>
    <row r="371" spans="1:17" s="750" customFormat="1" ht="15" customHeight="1">
      <c r="A371" s="2058"/>
      <c r="B371" s="2036"/>
      <c r="C371" s="2060" t="s">
        <v>444</v>
      </c>
      <c r="D371" s="409" t="s">
        <v>576</v>
      </c>
      <c r="E371" s="375"/>
      <c r="F371" s="375"/>
      <c r="G371" s="375"/>
      <c r="H371" s="375"/>
      <c r="I371" s="375"/>
      <c r="J371" s="396"/>
      <c r="K371" s="375"/>
      <c r="L371" s="396"/>
      <c r="M371" s="427"/>
      <c r="N371" s="371"/>
      <c r="O371" s="371"/>
      <c r="P371" s="556"/>
      <c r="Q371" s="361">
        <f>SUM(E371:P371)</f>
        <v>0</v>
      </c>
    </row>
    <row r="372" spans="1:18" s="751" customFormat="1" ht="15" customHeight="1" thickBot="1">
      <c r="A372" s="2059"/>
      <c r="B372" s="2038"/>
      <c r="C372" s="2031"/>
      <c r="D372" s="423" t="s">
        <v>446</v>
      </c>
      <c r="E372" s="430">
        <f aca="true" t="shared" si="68" ref="E372:Q372">SUM(E371:E371)</f>
        <v>0</v>
      </c>
      <c r="F372" s="413">
        <f t="shared" si="68"/>
        <v>0</v>
      </c>
      <c r="G372" s="413">
        <f t="shared" si="68"/>
        <v>0</v>
      </c>
      <c r="H372" s="413">
        <f t="shared" si="68"/>
        <v>0</v>
      </c>
      <c r="I372" s="413">
        <f t="shared" si="68"/>
        <v>0</v>
      </c>
      <c r="J372" s="413">
        <f t="shared" si="68"/>
        <v>0</v>
      </c>
      <c r="K372" s="413">
        <f t="shared" si="68"/>
        <v>0</v>
      </c>
      <c r="L372" s="413">
        <f t="shared" si="68"/>
        <v>0</v>
      </c>
      <c r="M372" s="413">
        <f t="shared" si="68"/>
        <v>0</v>
      </c>
      <c r="N372" s="413">
        <f t="shared" si="68"/>
        <v>0</v>
      </c>
      <c r="O372" s="413">
        <f t="shared" si="68"/>
        <v>0</v>
      </c>
      <c r="P372" s="571">
        <f t="shared" si="68"/>
        <v>0</v>
      </c>
      <c r="Q372" s="431">
        <f t="shared" si="68"/>
        <v>0</v>
      </c>
      <c r="R372" s="753">
        <f>Q366+Q370+Q372</f>
        <v>0</v>
      </c>
    </row>
    <row r="373" spans="1:17" s="752" customFormat="1" ht="4.5" customHeight="1" thickBot="1">
      <c r="A373" s="1162"/>
      <c r="B373" s="1165"/>
      <c r="C373" s="1163"/>
      <c r="D373" s="425"/>
      <c r="E373" s="385"/>
      <c r="F373" s="383"/>
      <c r="G373" s="383"/>
      <c r="H373" s="383"/>
      <c r="I373" s="383"/>
      <c r="J373" s="383"/>
      <c r="K373" s="558"/>
      <c r="L373" s="564"/>
      <c r="M373" s="385"/>
      <c r="N373" s="383"/>
      <c r="O373" s="383"/>
      <c r="P373" s="558"/>
      <c r="Q373" s="386"/>
    </row>
    <row r="374" spans="1:17" s="750" customFormat="1" ht="15" customHeight="1">
      <c r="A374" s="2057">
        <v>18</v>
      </c>
      <c r="B374" s="2035" t="s">
        <v>739</v>
      </c>
      <c r="C374" s="2028" t="s">
        <v>435</v>
      </c>
      <c r="D374" s="415" t="s">
        <v>436</v>
      </c>
      <c r="E374" s="435">
        <v>-21964</v>
      </c>
      <c r="F374" s="435">
        <v>-39833</v>
      </c>
      <c r="G374" s="435">
        <v>-34140</v>
      </c>
      <c r="H374" s="435">
        <v>0</v>
      </c>
      <c r="I374" s="435">
        <v>-4125</v>
      </c>
      <c r="J374" s="435">
        <v>-28919</v>
      </c>
      <c r="K374" s="435">
        <v>-59866</v>
      </c>
      <c r="L374" s="435">
        <v>-28986</v>
      </c>
      <c r="M374" s="388">
        <v>-22715</v>
      </c>
      <c r="N374" s="436">
        <v>-21057</v>
      </c>
      <c r="O374" s="436">
        <v>-28755</v>
      </c>
      <c r="P374" s="560">
        <v>-850</v>
      </c>
      <c r="Q374" s="390">
        <f>SUM(E374:P374)</f>
        <v>-291210</v>
      </c>
    </row>
    <row r="375" spans="1:17" s="750" customFormat="1" ht="15" customHeight="1">
      <c r="A375" s="2058"/>
      <c r="B375" s="2036"/>
      <c r="C375" s="2029"/>
      <c r="D375" s="426" t="s">
        <v>825</v>
      </c>
      <c r="E375" s="438">
        <v>-11619</v>
      </c>
      <c r="F375" s="438">
        <v>-37986</v>
      </c>
      <c r="G375" s="438">
        <v>-34377</v>
      </c>
      <c r="H375" s="438">
        <v>-9961</v>
      </c>
      <c r="I375" s="438">
        <v>-39657</v>
      </c>
      <c r="J375" s="438">
        <v>-39746</v>
      </c>
      <c r="K375" s="438">
        <v>-6852</v>
      </c>
      <c r="L375" s="438">
        <v>-2480</v>
      </c>
      <c r="M375" s="358">
        <v>-11604</v>
      </c>
      <c r="N375" s="362">
        <v>-15231</v>
      </c>
      <c r="O375" s="362">
        <v>-20484</v>
      </c>
      <c r="P375" s="554">
        <v>-5290</v>
      </c>
      <c r="Q375" s="359">
        <f>SUM(E375:P375)</f>
        <v>-235287</v>
      </c>
    </row>
    <row r="376" spans="1:17" s="750" customFormat="1" ht="15" customHeight="1">
      <c r="A376" s="2058"/>
      <c r="B376" s="2036"/>
      <c r="C376" s="2029"/>
      <c r="D376" s="426" t="s">
        <v>437</v>
      </c>
      <c r="E376" s="438">
        <v>-23957</v>
      </c>
      <c r="F376" s="438">
        <v>-11140</v>
      </c>
      <c r="G376" s="438">
        <v>-8978</v>
      </c>
      <c r="H376" s="438">
        <v>-1203</v>
      </c>
      <c r="I376" s="438">
        <v>-9741</v>
      </c>
      <c r="J376" s="438">
        <v>-8727</v>
      </c>
      <c r="K376" s="438">
        <v>-1660</v>
      </c>
      <c r="L376" s="438">
        <v>-147</v>
      </c>
      <c r="M376" s="358">
        <v>-12444</v>
      </c>
      <c r="N376" s="358">
        <v>-4056</v>
      </c>
      <c r="O376" s="358">
        <v>-6032</v>
      </c>
      <c r="P376" s="554">
        <v>-715</v>
      </c>
      <c r="Q376" s="361">
        <f>SUM(E376:P376)</f>
        <v>-88800</v>
      </c>
    </row>
    <row r="377" spans="1:17" s="750" customFormat="1" ht="15" customHeight="1">
      <c r="A377" s="2058"/>
      <c r="B377" s="2036"/>
      <c r="C377" s="2029"/>
      <c r="D377" s="410" t="s">
        <v>438</v>
      </c>
      <c r="E377" s="368">
        <f aca="true" t="shared" si="69" ref="E377:P377">SUM(E374:E376)</f>
        <v>-57540</v>
      </c>
      <c r="F377" s="368">
        <f t="shared" si="69"/>
        <v>-88959</v>
      </c>
      <c r="G377" s="368">
        <f t="shared" si="69"/>
        <v>-77495</v>
      </c>
      <c r="H377" s="368">
        <f t="shared" si="69"/>
        <v>-11164</v>
      </c>
      <c r="I377" s="368">
        <f t="shared" si="69"/>
        <v>-53523</v>
      </c>
      <c r="J377" s="368">
        <f t="shared" si="69"/>
        <v>-77392</v>
      </c>
      <c r="K377" s="368">
        <f t="shared" si="69"/>
        <v>-68378</v>
      </c>
      <c r="L377" s="368">
        <f t="shared" si="69"/>
        <v>-31613</v>
      </c>
      <c r="M377" s="368">
        <f t="shared" si="69"/>
        <v>-46763</v>
      </c>
      <c r="N377" s="365">
        <f t="shared" si="69"/>
        <v>-40344</v>
      </c>
      <c r="O377" s="365">
        <f t="shared" si="69"/>
        <v>-55271</v>
      </c>
      <c r="P377" s="561">
        <f t="shared" si="69"/>
        <v>-6855</v>
      </c>
      <c r="Q377" s="366">
        <f>SUM(Q374:Q376)</f>
        <v>-615297</v>
      </c>
    </row>
    <row r="378" spans="1:17" s="750" customFormat="1" ht="15" customHeight="1">
      <c r="A378" s="2058"/>
      <c r="B378" s="2036"/>
      <c r="C378" s="2029"/>
      <c r="D378" s="426" t="s">
        <v>439</v>
      </c>
      <c r="E378" s="438">
        <v>0</v>
      </c>
      <c r="F378" s="438">
        <v>4929</v>
      </c>
      <c r="G378" s="438">
        <v>3034</v>
      </c>
      <c r="H378" s="442">
        <v>12284</v>
      </c>
      <c r="I378" s="442">
        <v>9996</v>
      </c>
      <c r="J378" s="442">
        <v>8292</v>
      </c>
      <c r="K378" s="442">
        <v>1338</v>
      </c>
      <c r="L378" s="442">
        <v>945</v>
      </c>
      <c r="M378" s="442">
        <v>8598</v>
      </c>
      <c r="N378" s="358">
        <v>8459</v>
      </c>
      <c r="O378" s="358">
        <v>16689</v>
      </c>
      <c r="P378" s="554">
        <v>34729</v>
      </c>
      <c r="Q378" s="361">
        <f>SUM(E378:P378)</f>
        <v>109293</v>
      </c>
    </row>
    <row r="379" spans="1:17" s="750" customFormat="1" ht="15" customHeight="1">
      <c r="A379" s="2058"/>
      <c r="B379" s="2036"/>
      <c r="C379" s="2029"/>
      <c r="D379" s="426" t="s">
        <v>826</v>
      </c>
      <c r="E379" s="438">
        <v>44414</v>
      </c>
      <c r="F379" s="438">
        <v>15715</v>
      </c>
      <c r="G379" s="438">
        <v>7060</v>
      </c>
      <c r="H379" s="438">
        <v>1109</v>
      </c>
      <c r="I379" s="438">
        <v>0</v>
      </c>
      <c r="J379" s="438">
        <v>0</v>
      </c>
      <c r="K379" s="438">
        <v>1134</v>
      </c>
      <c r="L379" s="438">
        <v>4372</v>
      </c>
      <c r="M379" s="438">
        <v>875</v>
      </c>
      <c r="N379" s="358">
        <v>430</v>
      </c>
      <c r="O379" s="358">
        <v>5253</v>
      </c>
      <c r="P379" s="554">
        <v>12543</v>
      </c>
      <c r="Q379" s="361">
        <f>SUM(E379:P379)</f>
        <v>92905</v>
      </c>
    </row>
    <row r="380" spans="1:17" s="750" customFormat="1" ht="15" customHeight="1">
      <c r="A380" s="2058"/>
      <c r="B380" s="2036"/>
      <c r="C380" s="2029"/>
      <c r="D380" s="426" t="s">
        <v>440</v>
      </c>
      <c r="E380" s="438">
        <v>5040</v>
      </c>
      <c r="F380" s="438">
        <v>0</v>
      </c>
      <c r="G380" s="438">
        <v>4786</v>
      </c>
      <c r="H380" s="438">
        <v>1063</v>
      </c>
      <c r="I380" s="438">
        <v>1161</v>
      </c>
      <c r="J380" s="438">
        <v>3803</v>
      </c>
      <c r="K380" s="438">
        <v>3873</v>
      </c>
      <c r="L380" s="438">
        <v>6883</v>
      </c>
      <c r="M380" s="438">
        <v>1900</v>
      </c>
      <c r="N380" s="358">
        <v>4143</v>
      </c>
      <c r="O380" s="358">
        <v>140</v>
      </c>
      <c r="P380" s="554">
        <v>283</v>
      </c>
      <c r="Q380" s="361">
        <f>SUM(E380:P380)</f>
        <v>33075</v>
      </c>
    </row>
    <row r="381" spans="1:17" s="750" customFormat="1" ht="15" customHeight="1">
      <c r="A381" s="2058"/>
      <c r="B381" s="2036"/>
      <c r="C381" s="2030"/>
      <c r="D381" s="410" t="s">
        <v>441</v>
      </c>
      <c r="E381" s="449">
        <f aca="true" t="shared" si="70" ref="E381:P381">SUM(E378:E380)</f>
        <v>49454</v>
      </c>
      <c r="F381" s="449">
        <f t="shared" si="70"/>
        <v>20644</v>
      </c>
      <c r="G381" s="449">
        <f t="shared" si="70"/>
        <v>14880</v>
      </c>
      <c r="H381" s="449">
        <f t="shared" si="70"/>
        <v>14456</v>
      </c>
      <c r="I381" s="449">
        <f t="shared" si="70"/>
        <v>11157</v>
      </c>
      <c r="J381" s="368">
        <f t="shared" si="70"/>
        <v>12095</v>
      </c>
      <c r="K381" s="368">
        <f t="shared" si="70"/>
        <v>6345</v>
      </c>
      <c r="L381" s="368">
        <f t="shared" si="70"/>
        <v>12200</v>
      </c>
      <c r="M381" s="365">
        <f t="shared" si="70"/>
        <v>11373</v>
      </c>
      <c r="N381" s="365">
        <f t="shared" si="70"/>
        <v>13032</v>
      </c>
      <c r="O381" s="365">
        <f t="shared" si="70"/>
        <v>22082</v>
      </c>
      <c r="P381" s="561">
        <f t="shared" si="70"/>
        <v>47555</v>
      </c>
      <c r="Q381" s="366">
        <f>SUM(Q378:Q380)</f>
        <v>235273</v>
      </c>
    </row>
    <row r="382" spans="1:17" s="750" customFormat="1" ht="15" customHeight="1" hidden="1">
      <c r="A382" s="2058"/>
      <c r="B382" s="2036"/>
      <c r="C382" s="2060" t="s">
        <v>444</v>
      </c>
      <c r="D382" s="409" t="s">
        <v>733</v>
      </c>
      <c r="E382" s="375"/>
      <c r="F382" s="375"/>
      <c r="G382" s="375"/>
      <c r="H382" s="375"/>
      <c r="I382" s="375"/>
      <c r="J382" s="396"/>
      <c r="K382" s="375"/>
      <c r="L382" s="396"/>
      <c r="M382" s="427"/>
      <c r="N382" s="371"/>
      <c r="O382" s="371"/>
      <c r="P382" s="556"/>
      <c r="Q382" s="361">
        <f>SUM(E382:P382)</f>
        <v>0</v>
      </c>
    </row>
    <row r="383" spans="1:17" s="750" customFormat="1" ht="15" customHeight="1" hidden="1">
      <c r="A383" s="2058"/>
      <c r="B383" s="2036"/>
      <c r="C383" s="2029"/>
      <c r="D383" s="409" t="s">
        <v>831</v>
      </c>
      <c r="E383" s="375"/>
      <c r="F383" s="375"/>
      <c r="G383" s="375"/>
      <c r="H383" s="375"/>
      <c r="I383" s="375"/>
      <c r="J383" s="396"/>
      <c r="K383" s="375"/>
      <c r="L383" s="396"/>
      <c r="M383" s="427"/>
      <c r="N383" s="371"/>
      <c r="O383" s="371"/>
      <c r="P383" s="556"/>
      <c r="Q383" s="361">
        <f aca="true" t="shared" si="71" ref="Q383:Q411">SUM(E383:P383)</f>
        <v>0</v>
      </c>
    </row>
    <row r="384" spans="1:17" s="750" customFormat="1" ht="15" customHeight="1">
      <c r="A384" s="2058"/>
      <c r="B384" s="2036"/>
      <c r="C384" s="2029"/>
      <c r="D384" s="409" t="s">
        <v>531</v>
      </c>
      <c r="E384" s="375">
        <v>2975</v>
      </c>
      <c r="F384" s="375">
        <v>6511</v>
      </c>
      <c r="G384" s="375">
        <v>4080</v>
      </c>
      <c r="H384" s="375"/>
      <c r="I384" s="375">
        <v>1422</v>
      </c>
      <c r="J384" s="371"/>
      <c r="K384" s="375"/>
      <c r="L384" s="371"/>
      <c r="M384" s="371"/>
      <c r="N384" s="371"/>
      <c r="O384" s="371"/>
      <c r="P384" s="556"/>
      <c r="Q384" s="361">
        <f t="shared" si="71"/>
        <v>14988</v>
      </c>
    </row>
    <row r="385" spans="1:17" s="750" customFormat="1" ht="15" customHeight="1">
      <c r="A385" s="2058"/>
      <c r="B385" s="2036"/>
      <c r="C385" s="2029"/>
      <c r="D385" s="409" t="s">
        <v>451</v>
      </c>
      <c r="E385" s="375"/>
      <c r="F385" s="375"/>
      <c r="G385" s="375"/>
      <c r="H385" s="375"/>
      <c r="I385" s="375">
        <v>27726</v>
      </c>
      <c r="J385" s="371">
        <v>26927</v>
      </c>
      <c r="K385" s="375">
        <v>27526</v>
      </c>
      <c r="L385" s="371"/>
      <c r="M385" s="371"/>
      <c r="N385" s="371"/>
      <c r="O385" s="371"/>
      <c r="P385" s="556"/>
      <c r="Q385" s="361">
        <f t="shared" si="71"/>
        <v>82179</v>
      </c>
    </row>
    <row r="386" spans="1:17" s="750" customFormat="1" ht="15" customHeight="1" hidden="1">
      <c r="A386" s="2058"/>
      <c r="B386" s="2036"/>
      <c r="C386" s="2029"/>
      <c r="D386" s="409" t="s">
        <v>455</v>
      </c>
      <c r="E386" s="375"/>
      <c r="F386" s="375"/>
      <c r="G386" s="375"/>
      <c r="H386" s="375"/>
      <c r="I386" s="375"/>
      <c r="J386" s="371"/>
      <c r="K386" s="375"/>
      <c r="L386" s="371"/>
      <c r="M386" s="371"/>
      <c r="N386" s="371"/>
      <c r="O386" s="371"/>
      <c r="P386" s="556"/>
      <c r="Q386" s="361">
        <f t="shared" si="71"/>
        <v>0</v>
      </c>
    </row>
    <row r="387" spans="1:17" s="750" customFormat="1" ht="15" customHeight="1">
      <c r="A387" s="2058"/>
      <c r="B387" s="2036"/>
      <c r="C387" s="2029"/>
      <c r="D387" s="409" t="s">
        <v>445</v>
      </c>
      <c r="E387" s="375">
        <v>24820</v>
      </c>
      <c r="F387" s="375">
        <v>27120</v>
      </c>
      <c r="G387" s="375"/>
      <c r="H387" s="375"/>
      <c r="I387" s="375"/>
      <c r="J387" s="371"/>
      <c r="K387" s="375">
        <v>3360</v>
      </c>
      <c r="L387" s="371"/>
      <c r="M387" s="371"/>
      <c r="N387" s="371">
        <v>9600</v>
      </c>
      <c r="O387" s="371"/>
      <c r="P387" s="556"/>
      <c r="Q387" s="361">
        <f t="shared" si="71"/>
        <v>64900</v>
      </c>
    </row>
    <row r="388" spans="1:17" s="750" customFormat="1" ht="15" customHeight="1" hidden="1">
      <c r="A388" s="2058"/>
      <c r="B388" s="2036"/>
      <c r="C388" s="2029"/>
      <c r="D388" s="409" t="s">
        <v>499</v>
      </c>
      <c r="E388" s="375"/>
      <c r="F388" s="375"/>
      <c r="G388" s="375"/>
      <c r="H388" s="375"/>
      <c r="I388" s="375"/>
      <c r="J388" s="371"/>
      <c r="K388" s="375"/>
      <c r="L388" s="371"/>
      <c r="M388" s="371"/>
      <c r="N388" s="371"/>
      <c r="O388" s="371"/>
      <c r="P388" s="556"/>
      <c r="Q388" s="361">
        <f t="shared" si="71"/>
        <v>0</v>
      </c>
    </row>
    <row r="389" spans="1:17" s="750" customFormat="1" ht="15" customHeight="1" hidden="1">
      <c r="A389" s="2058"/>
      <c r="B389" s="2036"/>
      <c r="C389" s="2029"/>
      <c r="D389" s="409" t="s">
        <v>498</v>
      </c>
      <c r="E389" s="375"/>
      <c r="F389" s="375"/>
      <c r="G389" s="375"/>
      <c r="H389" s="375"/>
      <c r="I389" s="375"/>
      <c r="J389" s="371"/>
      <c r="K389" s="375"/>
      <c r="L389" s="371"/>
      <c r="M389" s="371"/>
      <c r="N389" s="371"/>
      <c r="O389" s="371"/>
      <c r="P389" s="556"/>
      <c r="Q389" s="361">
        <f t="shared" si="71"/>
        <v>0</v>
      </c>
    </row>
    <row r="390" spans="1:17" s="750" customFormat="1" ht="15" customHeight="1" hidden="1">
      <c r="A390" s="2058"/>
      <c r="B390" s="2036"/>
      <c r="C390" s="2029"/>
      <c r="D390" s="409" t="s">
        <v>460</v>
      </c>
      <c r="E390" s="375"/>
      <c r="F390" s="375"/>
      <c r="G390" s="375"/>
      <c r="H390" s="375"/>
      <c r="I390" s="375"/>
      <c r="J390" s="371"/>
      <c r="K390" s="375"/>
      <c r="L390" s="371"/>
      <c r="M390" s="371"/>
      <c r="N390" s="371"/>
      <c r="O390" s="371"/>
      <c r="P390" s="556"/>
      <c r="Q390" s="361">
        <f t="shared" si="71"/>
        <v>0</v>
      </c>
    </row>
    <row r="391" spans="1:17" s="750" customFormat="1" ht="15" customHeight="1">
      <c r="A391" s="2058"/>
      <c r="B391" s="2036"/>
      <c r="C391" s="2029"/>
      <c r="D391" s="409" t="s">
        <v>845</v>
      </c>
      <c r="E391" s="375"/>
      <c r="F391" s="375"/>
      <c r="G391" s="375"/>
      <c r="H391" s="375"/>
      <c r="I391" s="375"/>
      <c r="J391" s="371"/>
      <c r="K391" s="375"/>
      <c r="L391" s="371"/>
      <c r="M391" s="371"/>
      <c r="N391" s="371"/>
      <c r="O391" s="371"/>
      <c r="P391" s="556"/>
      <c r="Q391" s="361">
        <f t="shared" si="71"/>
        <v>0</v>
      </c>
    </row>
    <row r="392" spans="1:17" s="750" customFormat="1" ht="15" customHeight="1">
      <c r="A392" s="2058"/>
      <c r="B392" s="2036"/>
      <c r="C392" s="2029"/>
      <c r="D392" s="409" t="s">
        <v>740</v>
      </c>
      <c r="E392" s="375">
        <v>-18600</v>
      </c>
      <c r="F392" s="375"/>
      <c r="G392" s="375">
        <v>-1957</v>
      </c>
      <c r="H392" s="375"/>
      <c r="I392" s="375">
        <v>-20</v>
      </c>
      <c r="J392" s="371">
        <v>-623</v>
      </c>
      <c r="K392" s="375">
        <v>-9408</v>
      </c>
      <c r="L392" s="371"/>
      <c r="M392" s="371">
        <v>-310</v>
      </c>
      <c r="N392" s="371">
        <v>-14900</v>
      </c>
      <c r="O392" s="371"/>
      <c r="P392" s="556">
        <v>-10190</v>
      </c>
      <c r="Q392" s="361">
        <f t="shared" si="71"/>
        <v>-56008</v>
      </c>
    </row>
    <row r="393" spans="1:17" s="750" customFormat="1" ht="15" customHeight="1">
      <c r="A393" s="2058"/>
      <c r="B393" s="2036"/>
      <c r="C393" s="2029"/>
      <c r="D393" s="409" t="s">
        <v>835</v>
      </c>
      <c r="E393" s="375"/>
      <c r="F393" s="375"/>
      <c r="G393" s="375"/>
      <c r="H393" s="375"/>
      <c r="I393" s="375"/>
      <c r="J393" s="371"/>
      <c r="K393" s="375"/>
      <c r="L393" s="371">
        <v>1</v>
      </c>
      <c r="M393" s="371"/>
      <c r="N393" s="371">
        <v>4071</v>
      </c>
      <c r="O393" s="371">
        <v>40</v>
      </c>
      <c r="P393" s="556"/>
      <c r="Q393" s="361">
        <f t="shared" si="71"/>
        <v>4112</v>
      </c>
    </row>
    <row r="394" spans="1:19" s="750" customFormat="1" ht="15" customHeight="1">
      <c r="A394" s="2058"/>
      <c r="B394" s="2036"/>
      <c r="C394" s="2029"/>
      <c r="D394" s="409" t="s">
        <v>454</v>
      </c>
      <c r="E394" s="375"/>
      <c r="F394" s="375">
        <v>19710</v>
      </c>
      <c r="G394" s="375"/>
      <c r="H394" s="375"/>
      <c r="I394" s="375"/>
      <c r="J394" s="371"/>
      <c r="K394" s="375"/>
      <c r="L394" s="371"/>
      <c r="M394" s="371"/>
      <c r="N394" s="371">
        <v>391</v>
      </c>
      <c r="O394" s="371"/>
      <c r="P394" s="556"/>
      <c r="Q394" s="361">
        <f t="shared" si="71"/>
        <v>20101</v>
      </c>
      <c r="S394" s="119"/>
    </row>
    <row r="395" spans="1:17" s="750" customFormat="1" ht="15" customHeight="1">
      <c r="A395" s="2058"/>
      <c r="B395" s="2036"/>
      <c r="C395" s="2029"/>
      <c r="D395" s="409" t="s">
        <v>447</v>
      </c>
      <c r="E395" s="375">
        <v>-16368</v>
      </c>
      <c r="F395" s="375"/>
      <c r="G395" s="375">
        <v>-880</v>
      </c>
      <c r="H395" s="375">
        <v>-3269</v>
      </c>
      <c r="I395" s="375"/>
      <c r="J395" s="371"/>
      <c r="K395" s="375"/>
      <c r="L395" s="371"/>
      <c r="M395" s="371"/>
      <c r="N395" s="371"/>
      <c r="O395" s="371"/>
      <c r="P395" s="556"/>
      <c r="Q395" s="361">
        <f t="shared" si="71"/>
        <v>-20517</v>
      </c>
    </row>
    <row r="396" spans="1:17" s="750" customFormat="1" ht="15" customHeight="1" hidden="1">
      <c r="A396" s="2058"/>
      <c r="B396" s="2036"/>
      <c r="C396" s="2029"/>
      <c r="D396" s="409" t="s">
        <v>846</v>
      </c>
      <c r="E396" s="375"/>
      <c r="F396" s="375"/>
      <c r="G396" s="375"/>
      <c r="H396" s="375"/>
      <c r="I396" s="375"/>
      <c r="J396" s="371"/>
      <c r="K396" s="375"/>
      <c r="L396" s="371"/>
      <c r="M396" s="371"/>
      <c r="N396" s="371"/>
      <c r="O396" s="371"/>
      <c r="P396" s="556"/>
      <c r="Q396" s="361">
        <f t="shared" si="71"/>
        <v>0</v>
      </c>
    </row>
    <row r="397" spans="1:17" s="750" customFormat="1" ht="15" customHeight="1" hidden="1">
      <c r="A397" s="2058"/>
      <c r="B397" s="2036"/>
      <c r="C397" s="2029"/>
      <c r="D397" s="409" t="s">
        <v>847</v>
      </c>
      <c r="E397" s="375"/>
      <c r="F397" s="375"/>
      <c r="G397" s="375"/>
      <c r="H397" s="375"/>
      <c r="I397" s="375"/>
      <c r="J397" s="371"/>
      <c r="K397" s="375"/>
      <c r="L397" s="371"/>
      <c r="M397" s="371"/>
      <c r="N397" s="371"/>
      <c r="O397" s="371"/>
      <c r="P397" s="556"/>
      <c r="Q397" s="361">
        <f t="shared" si="71"/>
        <v>0</v>
      </c>
    </row>
    <row r="398" spans="1:17" s="750" customFormat="1" ht="15" customHeight="1" hidden="1">
      <c r="A398" s="2058"/>
      <c r="B398" s="2036"/>
      <c r="C398" s="2029"/>
      <c r="D398" s="409" t="s">
        <v>834</v>
      </c>
      <c r="E398" s="375">
        <v>1</v>
      </c>
      <c r="F398" s="375"/>
      <c r="G398" s="325"/>
      <c r="H398" s="375"/>
      <c r="I398" s="375"/>
      <c r="J398" s="371"/>
      <c r="K398" s="375"/>
      <c r="L398" s="371"/>
      <c r="M398" s="371"/>
      <c r="N398" s="371"/>
      <c r="O398" s="371"/>
      <c r="P398" s="556"/>
      <c r="Q398" s="361">
        <f t="shared" si="71"/>
        <v>1</v>
      </c>
    </row>
    <row r="399" spans="1:17" s="750" customFormat="1" ht="15" customHeight="1">
      <c r="A399" s="2058"/>
      <c r="B399" s="2036"/>
      <c r="C399" s="2029"/>
      <c r="D399" s="409" t="s">
        <v>848</v>
      </c>
      <c r="E399" s="375"/>
      <c r="F399" s="375"/>
      <c r="G399" s="375"/>
      <c r="H399" s="375"/>
      <c r="I399" s="375"/>
      <c r="J399" s="371"/>
      <c r="K399" s="375"/>
      <c r="L399" s="371"/>
      <c r="M399" s="371"/>
      <c r="N399" s="371"/>
      <c r="O399" s="371"/>
      <c r="P399" s="556"/>
      <c r="Q399" s="361">
        <f t="shared" si="71"/>
        <v>0</v>
      </c>
    </row>
    <row r="400" spans="1:17" s="750" customFormat="1" ht="15" customHeight="1">
      <c r="A400" s="2058"/>
      <c r="B400" s="2036"/>
      <c r="C400" s="2029"/>
      <c r="D400" s="409" t="s">
        <v>1146</v>
      </c>
      <c r="E400" s="375"/>
      <c r="F400" s="375"/>
      <c r="G400" s="375"/>
      <c r="H400" s="375">
        <v>58</v>
      </c>
      <c r="I400" s="375">
        <v>92</v>
      </c>
      <c r="J400" s="371"/>
      <c r="K400" s="375"/>
      <c r="L400" s="371"/>
      <c r="M400" s="371"/>
      <c r="N400" s="371"/>
      <c r="O400" s="371"/>
      <c r="P400" s="556"/>
      <c r="Q400" s="361">
        <f t="shared" si="71"/>
        <v>150</v>
      </c>
    </row>
    <row r="401" spans="1:17" s="750" customFormat="1" ht="15" customHeight="1">
      <c r="A401" s="2058"/>
      <c r="B401" s="2036"/>
      <c r="C401" s="2029"/>
      <c r="D401" s="409" t="s">
        <v>846</v>
      </c>
      <c r="E401" s="375"/>
      <c r="F401" s="375"/>
      <c r="G401" s="375"/>
      <c r="H401" s="375">
        <v>783</v>
      </c>
      <c r="I401" s="375"/>
      <c r="J401" s="371"/>
      <c r="K401" s="375"/>
      <c r="L401" s="371">
        <v>2</v>
      </c>
      <c r="M401" s="371"/>
      <c r="N401" s="371"/>
      <c r="O401" s="371">
        <v>169</v>
      </c>
      <c r="P401" s="556"/>
      <c r="Q401" s="361">
        <f t="shared" si="71"/>
        <v>954</v>
      </c>
    </row>
    <row r="402" spans="1:17" s="750" customFormat="1" ht="15" customHeight="1">
      <c r="A402" s="2058"/>
      <c r="B402" s="2036"/>
      <c r="C402" s="2029"/>
      <c r="D402" s="409" t="s">
        <v>1147</v>
      </c>
      <c r="E402" s="375">
        <v>-16062</v>
      </c>
      <c r="F402" s="375">
        <v>-998</v>
      </c>
      <c r="G402" s="375"/>
      <c r="H402" s="375"/>
      <c r="I402" s="375"/>
      <c r="J402" s="371"/>
      <c r="K402" s="375">
        <v>-2400</v>
      </c>
      <c r="L402" s="371"/>
      <c r="M402" s="371"/>
      <c r="N402" s="371"/>
      <c r="O402" s="371">
        <v>-2520</v>
      </c>
      <c r="P402" s="556"/>
      <c r="Q402" s="361">
        <f t="shared" si="71"/>
        <v>-21980</v>
      </c>
    </row>
    <row r="403" spans="1:17" s="750" customFormat="1" ht="15" customHeight="1" hidden="1">
      <c r="A403" s="2058"/>
      <c r="B403" s="2036"/>
      <c r="C403" s="2029"/>
      <c r="D403" s="409" t="s">
        <v>1150</v>
      </c>
      <c r="E403" s="375"/>
      <c r="F403" s="375"/>
      <c r="G403" s="375"/>
      <c r="H403" s="375"/>
      <c r="I403" s="375"/>
      <c r="J403" s="371"/>
      <c r="K403" s="375"/>
      <c r="L403" s="371"/>
      <c r="M403" s="371"/>
      <c r="N403" s="371"/>
      <c r="O403" s="371"/>
      <c r="P403" s="556"/>
      <c r="Q403" s="361">
        <f t="shared" si="71"/>
        <v>0</v>
      </c>
    </row>
    <row r="404" spans="1:17" s="750" customFormat="1" ht="15" customHeight="1" hidden="1">
      <c r="A404" s="2058"/>
      <c r="B404" s="2036"/>
      <c r="C404" s="2029"/>
      <c r="D404" s="409" t="s">
        <v>849</v>
      </c>
      <c r="E404" s="375"/>
      <c r="F404" s="375"/>
      <c r="G404" s="375"/>
      <c r="H404" s="375"/>
      <c r="I404" s="375"/>
      <c r="J404" s="371"/>
      <c r="K404" s="375"/>
      <c r="L404" s="371"/>
      <c r="M404" s="371"/>
      <c r="N404" s="371"/>
      <c r="O404" s="371"/>
      <c r="P404" s="556"/>
      <c r="Q404" s="361">
        <f t="shared" si="71"/>
        <v>0</v>
      </c>
    </row>
    <row r="405" spans="1:17" s="750" customFormat="1" ht="15" customHeight="1" hidden="1">
      <c r="A405" s="2058"/>
      <c r="B405" s="2036"/>
      <c r="C405" s="2029"/>
      <c r="D405" s="409" t="s">
        <v>1151</v>
      </c>
      <c r="E405" s="375"/>
      <c r="F405" s="375"/>
      <c r="G405" s="375"/>
      <c r="H405" s="375"/>
      <c r="I405" s="375"/>
      <c r="J405" s="371"/>
      <c r="K405" s="375"/>
      <c r="L405" s="371"/>
      <c r="M405" s="371"/>
      <c r="N405" s="371"/>
      <c r="O405" s="371"/>
      <c r="P405" s="556"/>
      <c r="Q405" s="361">
        <f t="shared" si="71"/>
        <v>0</v>
      </c>
    </row>
    <row r="406" spans="1:17" s="750" customFormat="1" ht="15" customHeight="1">
      <c r="A406" s="2058"/>
      <c r="B406" s="2036"/>
      <c r="C406" s="2029"/>
      <c r="D406" s="409" t="s">
        <v>1151</v>
      </c>
      <c r="E406" s="375"/>
      <c r="F406" s="375"/>
      <c r="G406" s="375"/>
      <c r="H406" s="375">
        <v>-600</v>
      </c>
      <c r="I406" s="375"/>
      <c r="J406" s="371">
        <v>-240</v>
      </c>
      <c r="K406" s="375">
        <v>-6000</v>
      </c>
      <c r="L406" s="371">
        <v>-225</v>
      </c>
      <c r="M406" s="371">
        <v>-150</v>
      </c>
      <c r="N406" s="371"/>
      <c r="O406" s="371">
        <v>-6100</v>
      </c>
      <c r="P406" s="556">
        <v>-8400</v>
      </c>
      <c r="Q406" s="361">
        <f t="shared" si="71"/>
        <v>-21715</v>
      </c>
    </row>
    <row r="407" spans="1:17" s="750" customFormat="1" ht="15" customHeight="1">
      <c r="A407" s="2058"/>
      <c r="B407" s="2036"/>
      <c r="C407" s="2029"/>
      <c r="D407" s="409" t="s">
        <v>1152</v>
      </c>
      <c r="E407" s="375"/>
      <c r="F407" s="375"/>
      <c r="G407" s="375"/>
      <c r="H407" s="375">
        <v>-1752</v>
      </c>
      <c r="I407" s="375"/>
      <c r="J407" s="371">
        <v>-600</v>
      </c>
      <c r="K407" s="375">
        <v>-6000</v>
      </c>
      <c r="L407" s="371">
        <v>-225</v>
      </c>
      <c r="M407" s="371">
        <v>-150</v>
      </c>
      <c r="N407" s="371"/>
      <c r="O407" s="371">
        <v>-4200</v>
      </c>
      <c r="P407" s="556">
        <v>-25680</v>
      </c>
      <c r="Q407" s="361">
        <f t="shared" si="71"/>
        <v>-38607</v>
      </c>
    </row>
    <row r="408" spans="1:17" s="750" customFormat="1" ht="14.25" customHeight="1">
      <c r="A408" s="2058"/>
      <c r="B408" s="2036"/>
      <c r="C408" s="2029"/>
      <c r="D408" s="409" t="s">
        <v>1153</v>
      </c>
      <c r="E408" s="375">
        <v>11880</v>
      </c>
      <c r="F408" s="375">
        <v>7990</v>
      </c>
      <c r="G408" s="375">
        <v>45140</v>
      </c>
      <c r="H408" s="375"/>
      <c r="I408" s="375">
        <v>6496</v>
      </c>
      <c r="J408" s="371">
        <v>17790</v>
      </c>
      <c r="K408" s="375">
        <v>24660</v>
      </c>
      <c r="L408" s="371">
        <v>4680</v>
      </c>
      <c r="M408" s="371">
        <v>19260</v>
      </c>
      <c r="N408" s="371">
        <v>15860</v>
      </c>
      <c r="O408" s="371">
        <v>32360</v>
      </c>
      <c r="P408" s="556">
        <v>3570</v>
      </c>
      <c r="Q408" s="361">
        <f t="shared" si="71"/>
        <v>189686</v>
      </c>
    </row>
    <row r="409" spans="1:17" s="750" customFormat="1" ht="15" customHeight="1" hidden="1">
      <c r="A409" s="2058"/>
      <c r="B409" s="2036"/>
      <c r="C409" s="2029"/>
      <c r="D409" s="409" t="s">
        <v>1152</v>
      </c>
      <c r="E409" s="375"/>
      <c r="F409" s="375"/>
      <c r="G409" s="375"/>
      <c r="H409" s="375"/>
      <c r="I409" s="375"/>
      <c r="J409" s="371"/>
      <c r="K409" s="375"/>
      <c r="L409" s="371"/>
      <c r="M409" s="371"/>
      <c r="N409" s="371"/>
      <c r="O409" s="371"/>
      <c r="P409" s="556"/>
      <c r="Q409" s="361">
        <f t="shared" si="71"/>
        <v>0</v>
      </c>
    </row>
    <row r="410" spans="1:17" s="750" customFormat="1" ht="15" customHeight="1">
      <c r="A410" s="2058"/>
      <c r="B410" s="2036"/>
      <c r="C410" s="2029"/>
      <c r="D410" s="409" t="s">
        <v>1154</v>
      </c>
      <c r="E410" s="375">
        <v>19440</v>
      </c>
      <c r="F410" s="375">
        <v>7982</v>
      </c>
      <c r="G410" s="375">
        <v>16232</v>
      </c>
      <c r="H410" s="375">
        <v>1488</v>
      </c>
      <c r="I410" s="375">
        <v>6650</v>
      </c>
      <c r="J410" s="371">
        <v>22565</v>
      </c>
      <c r="K410" s="375">
        <v>30540</v>
      </c>
      <c r="L410" s="371">
        <v>15660</v>
      </c>
      <c r="M410" s="371">
        <v>16740</v>
      </c>
      <c r="N410" s="371">
        <v>17570</v>
      </c>
      <c r="O410" s="371">
        <v>13440</v>
      </c>
      <c r="P410" s="556"/>
      <c r="Q410" s="361">
        <f t="shared" si="71"/>
        <v>168307</v>
      </c>
    </row>
    <row r="411" spans="1:17" s="750" customFormat="1" ht="15" customHeight="1">
      <c r="A411" s="2058"/>
      <c r="B411" s="2036"/>
      <c r="C411" s="2029"/>
      <c r="D411" s="409" t="s">
        <v>1155</v>
      </c>
      <c r="E411" s="375"/>
      <c r="F411" s="375"/>
      <c r="G411" s="685"/>
      <c r="H411" s="419"/>
      <c r="I411" s="375"/>
      <c r="J411" s="371">
        <v>-522</v>
      </c>
      <c r="K411" s="375">
        <v>-245</v>
      </c>
      <c r="L411" s="371">
        <v>-480</v>
      </c>
      <c r="M411" s="371"/>
      <c r="N411" s="371">
        <v>-5280</v>
      </c>
      <c r="O411" s="371"/>
      <c r="P411" s="556"/>
      <c r="Q411" s="361">
        <f t="shared" si="71"/>
        <v>-6527</v>
      </c>
    </row>
    <row r="412" spans="1:18" s="751" customFormat="1" ht="15" customHeight="1" thickBot="1">
      <c r="A412" s="2059"/>
      <c r="B412" s="2038"/>
      <c r="C412" s="2031"/>
      <c r="D412" s="423" t="s">
        <v>446</v>
      </c>
      <c r="E412" s="430">
        <f>SUM(E382:E411)</f>
        <v>8086</v>
      </c>
      <c r="F412" s="430">
        <f>SUM(F382:F411)</f>
        <v>68315</v>
      </c>
      <c r="G412" s="686">
        <f>SUM(G382:G411)</f>
        <v>62615</v>
      </c>
      <c r="H412" s="430">
        <f aca="true" t="shared" si="72" ref="H412:P412">SUM(H382:H411)</f>
        <v>-3292</v>
      </c>
      <c r="I412" s="430">
        <f t="shared" si="72"/>
        <v>42366</v>
      </c>
      <c r="J412" s="430">
        <f t="shared" si="72"/>
        <v>65297</v>
      </c>
      <c r="K412" s="430">
        <f t="shared" si="72"/>
        <v>62033</v>
      </c>
      <c r="L412" s="430">
        <f t="shared" si="72"/>
        <v>19413</v>
      </c>
      <c r="M412" s="430">
        <f t="shared" si="72"/>
        <v>35390</v>
      </c>
      <c r="N412" s="430">
        <f t="shared" si="72"/>
        <v>27312</v>
      </c>
      <c r="O412" s="430">
        <f t="shared" si="72"/>
        <v>33189</v>
      </c>
      <c r="P412" s="687">
        <f t="shared" si="72"/>
        <v>-40700</v>
      </c>
      <c r="Q412" s="431">
        <f>SUM(Q382:Q411)</f>
        <v>380024</v>
      </c>
      <c r="R412" s="753">
        <f>Q377+Q381+Q412</f>
        <v>0</v>
      </c>
    </row>
    <row r="413" spans="1:17" s="751" customFormat="1" ht="6.75" customHeight="1" thickBot="1">
      <c r="A413" s="689"/>
      <c r="B413" s="448"/>
      <c r="C413" s="690"/>
      <c r="D413" s="690"/>
      <c r="E413" s="1164"/>
      <c r="F413" s="1164"/>
      <c r="G413" s="691"/>
      <c r="H413" s="692"/>
      <c r="I413" s="1164"/>
      <c r="J413" s="1164"/>
      <c r="K413" s="1164"/>
      <c r="L413" s="1164"/>
      <c r="M413" s="1164"/>
      <c r="N413" s="1164"/>
      <c r="O413" s="1164"/>
      <c r="P413" s="691"/>
      <c r="Q413" s="1003"/>
    </row>
    <row r="414" spans="1:17" s="752" customFormat="1" ht="14.25" customHeight="1">
      <c r="A414" s="2032">
        <v>19</v>
      </c>
      <c r="B414" s="2035" t="s">
        <v>1156</v>
      </c>
      <c r="C414" s="2028" t="s">
        <v>435</v>
      </c>
      <c r="D414" s="415" t="s">
        <v>436</v>
      </c>
      <c r="E414" s="693"/>
      <c r="F414" s="694"/>
      <c r="G414" s="695"/>
      <c r="H414" s="693"/>
      <c r="I414" s="694"/>
      <c r="J414" s="694"/>
      <c r="K414" s="694">
        <v>0</v>
      </c>
      <c r="L414" s="694"/>
      <c r="M414" s="694"/>
      <c r="N414" s="694">
        <v>0</v>
      </c>
      <c r="O414" s="694"/>
      <c r="P414" s="695">
        <v>0</v>
      </c>
      <c r="Q414" s="390">
        <f>SUM(E414:P414)</f>
        <v>0</v>
      </c>
    </row>
    <row r="415" spans="1:17" s="752" customFormat="1" ht="14.25" customHeight="1">
      <c r="A415" s="2033"/>
      <c r="B415" s="2036"/>
      <c r="C415" s="2029"/>
      <c r="D415" s="426" t="s">
        <v>825</v>
      </c>
      <c r="E415" s="696"/>
      <c r="F415" s="697"/>
      <c r="G415" s="698"/>
      <c r="H415" s="696"/>
      <c r="I415" s="697"/>
      <c r="J415" s="697"/>
      <c r="K415" s="697">
        <v>-6000</v>
      </c>
      <c r="L415" s="697"/>
      <c r="M415" s="697"/>
      <c r="N415" s="697">
        <v>0</v>
      </c>
      <c r="O415" s="697"/>
      <c r="P415" s="698">
        <v>0</v>
      </c>
      <c r="Q415" s="361">
        <f>SUM(E415:P415)</f>
        <v>-6000</v>
      </c>
    </row>
    <row r="416" spans="1:17" s="752" customFormat="1" ht="14.25" customHeight="1">
      <c r="A416" s="2033"/>
      <c r="B416" s="2036"/>
      <c r="C416" s="2029"/>
      <c r="D416" s="426" t="s">
        <v>437</v>
      </c>
      <c r="E416" s="696"/>
      <c r="F416" s="697"/>
      <c r="G416" s="698"/>
      <c r="H416" s="696"/>
      <c r="I416" s="697"/>
      <c r="J416" s="697"/>
      <c r="K416" s="697">
        <v>0</v>
      </c>
      <c r="L416" s="697"/>
      <c r="M416" s="697"/>
      <c r="N416" s="697">
        <v>0</v>
      </c>
      <c r="O416" s="697"/>
      <c r="P416" s="699">
        <v>0</v>
      </c>
      <c r="Q416" s="361">
        <f>SUM(E416:P416)</f>
        <v>0</v>
      </c>
    </row>
    <row r="417" spans="1:17" s="752" customFormat="1" ht="14.25" customHeight="1">
      <c r="A417" s="2033"/>
      <c r="B417" s="2036"/>
      <c r="C417" s="2029"/>
      <c r="D417" s="410" t="s">
        <v>438</v>
      </c>
      <c r="E417" s="411">
        <f>SUM(E414:E416)</f>
        <v>0</v>
      </c>
      <c r="F417" s="368">
        <f>SUM(F414:F416)</f>
        <v>0</v>
      </c>
      <c r="G417" s="700">
        <f>SUM(G414:G416)</f>
        <v>0</v>
      </c>
      <c r="H417" s="411">
        <f>SUM(H414:H416)</f>
        <v>0</v>
      </c>
      <c r="I417" s="368">
        <f>SUM(I414:I416)</f>
        <v>0</v>
      </c>
      <c r="J417" s="368">
        <f>SUM(J414:J416)</f>
        <v>0</v>
      </c>
      <c r="K417" s="368">
        <f aca="true" t="shared" si="73" ref="K417:P417">SUM(K414:K416)</f>
        <v>-6000</v>
      </c>
      <c r="L417" s="368">
        <f t="shared" si="73"/>
        <v>0</v>
      </c>
      <c r="M417" s="368">
        <f t="shared" si="73"/>
        <v>0</v>
      </c>
      <c r="N417" s="368">
        <f t="shared" si="73"/>
        <v>0</v>
      </c>
      <c r="O417" s="368">
        <f t="shared" si="73"/>
        <v>0</v>
      </c>
      <c r="P417" s="563">
        <f t="shared" si="73"/>
        <v>0</v>
      </c>
      <c r="Q417" s="373">
        <f>SUM(Q414:Q416)</f>
        <v>-6000</v>
      </c>
    </row>
    <row r="418" spans="1:17" s="752" customFormat="1" ht="14.25" customHeight="1">
      <c r="A418" s="2033"/>
      <c r="B418" s="2036"/>
      <c r="C418" s="2029"/>
      <c r="D418" s="426" t="s">
        <v>439</v>
      </c>
      <c r="E418" s="696"/>
      <c r="F418" s="697"/>
      <c r="G418" s="698"/>
      <c r="H418" s="696"/>
      <c r="I418" s="697"/>
      <c r="J418" s="697"/>
      <c r="K418" s="697">
        <v>0</v>
      </c>
      <c r="L418" s="697"/>
      <c r="M418" s="697"/>
      <c r="N418" s="697">
        <v>0</v>
      </c>
      <c r="O418" s="697"/>
      <c r="P418" s="699">
        <v>0</v>
      </c>
      <c r="Q418" s="361">
        <f>SUM(E418:P418)</f>
        <v>0</v>
      </c>
    </row>
    <row r="419" spans="1:17" s="752" customFormat="1" ht="14.25" customHeight="1">
      <c r="A419" s="2033"/>
      <c r="B419" s="2036"/>
      <c r="C419" s="2029"/>
      <c r="D419" s="426" t="s">
        <v>826</v>
      </c>
      <c r="E419" s="696"/>
      <c r="F419" s="697"/>
      <c r="G419" s="698"/>
      <c r="H419" s="696"/>
      <c r="I419" s="697"/>
      <c r="J419" s="697"/>
      <c r="K419" s="697">
        <v>0</v>
      </c>
      <c r="L419" s="697"/>
      <c r="M419" s="697"/>
      <c r="N419" s="697">
        <v>480</v>
      </c>
      <c r="O419" s="697"/>
      <c r="P419" s="699">
        <v>3570</v>
      </c>
      <c r="Q419" s="361">
        <f>SUM(E419:P419)</f>
        <v>4050</v>
      </c>
    </row>
    <row r="420" spans="1:17" s="752" customFormat="1" ht="14.25" customHeight="1">
      <c r="A420" s="2033"/>
      <c r="B420" s="2036"/>
      <c r="C420" s="2029"/>
      <c r="D420" s="426" t="s">
        <v>440</v>
      </c>
      <c r="E420" s="696"/>
      <c r="F420" s="697"/>
      <c r="G420" s="698"/>
      <c r="H420" s="696"/>
      <c r="I420" s="697"/>
      <c r="J420" s="697"/>
      <c r="K420" s="697">
        <v>0</v>
      </c>
      <c r="L420" s="697"/>
      <c r="M420" s="697"/>
      <c r="N420" s="697">
        <v>0</v>
      </c>
      <c r="O420" s="697"/>
      <c r="P420" s="699">
        <v>0</v>
      </c>
      <c r="Q420" s="361">
        <f>SUM(E420:P420)</f>
        <v>0</v>
      </c>
    </row>
    <row r="421" spans="1:17" s="752" customFormat="1" ht="14.25" customHeight="1">
      <c r="A421" s="2033"/>
      <c r="B421" s="2036"/>
      <c r="C421" s="2030"/>
      <c r="D421" s="1267" t="s">
        <v>441</v>
      </c>
      <c r="E421" s="701">
        <f>SUM(E418:E420)</f>
        <v>0</v>
      </c>
      <c r="F421" s="449">
        <f>SUM(F418:F420)</f>
        <v>0</v>
      </c>
      <c r="G421" s="702">
        <f>SUM(G418:G420)</f>
        <v>0</v>
      </c>
      <c r="H421" s="701">
        <f>SUM(H418:H420)</f>
        <v>0</v>
      </c>
      <c r="I421" s="449">
        <f>SUM(I418:I420)</f>
        <v>0</v>
      </c>
      <c r="J421" s="449">
        <f>SUM(J418:J420)</f>
        <v>0</v>
      </c>
      <c r="K421" s="449">
        <f aca="true" t="shared" si="74" ref="K421:P421">SUM(K418:K420)</f>
        <v>0</v>
      </c>
      <c r="L421" s="449">
        <f t="shared" si="74"/>
        <v>0</v>
      </c>
      <c r="M421" s="449">
        <f t="shared" si="74"/>
        <v>0</v>
      </c>
      <c r="N421" s="449">
        <f t="shared" si="74"/>
        <v>480</v>
      </c>
      <c r="O421" s="449">
        <f t="shared" si="74"/>
        <v>0</v>
      </c>
      <c r="P421" s="703">
        <f t="shared" si="74"/>
        <v>3570</v>
      </c>
      <c r="Q421" s="373">
        <f>SUM(Q418:Q420)</f>
        <v>4050</v>
      </c>
    </row>
    <row r="422" spans="1:17" s="752" customFormat="1" ht="14.25" customHeight="1">
      <c r="A422" s="2033"/>
      <c r="B422" s="2036"/>
      <c r="C422" s="2037" t="s">
        <v>444</v>
      </c>
      <c r="D422" s="409" t="s">
        <v>1151</v>
      </c>
      <c r="E422" s="697"/>
      <c r="F422" s="697"/>
      <c r="G422" s="697"/>
      <c r="H422" s="697"/>
      <c r="I422" s="697"/>
      <c r="J422" s="697"/>
      <c r="K422" s="697"/>
      <c r="L422" s="697">
        <v>-2350</v>
      </c>
      <c r="M422" s="697"/>
      <c r="N422" s="697">
        <v>-15380</v>
      </c>
      <c r="O422" s="697">
        <v>-36560</v>
      </c>
      <c r="P422" s="699">
        <v>-29250</v>
      </c>
      <c r="Q422" s="361">
        <f>SUM(E422:P422)</f>
        <v>-83540</v>
      </c>
    </row>
    <row r="423" spans="1:17" s="752" customFormat="1" ht="14.25" customHeight="1" hidden="1">
      <c r="A423" s="2033"/>
      <c r="B423" s="2036"/>
      <c r="C423" s="2036"/>
      <c r="D423" s="409" t="s">
        <v>1153</v>
      </c>
      <c r="E423" s="696"/>
      <c r="F423" s="697"/>
      <c r="G423" s="698"/>
      <c r="H423" s="696"/>
      <c r="I423" s="697"/>
      <c r="J423" s="697"/>
      <c r="K423" s="697"/>
      <c r="L423" s="697"/>
      <c r="M423" s="697"/>
      <c r="N423" s="697"/>
      <c r="O423" s="697"/>
      <c r="P423" s="699"/>
      <c r="Q423" s="361">
        <f>SUM(E423:P423)</f>
        <v>0</v>
      </c>
    </row>
    <row r="424" spans="1:17" s="752" customFormat="1" ht="14.25" customHeight="1" hidden="1">
      <c r="A424" s="2033"/>
      <c r="B424" s="2036"/>
      <c r="C424" s="2036"/>
      <c r="D424" s="1268" t="s">
        <v>839</v>
      </c>
      <c r="E424" s="696"/>
      <c r="F424" s="697"/>
      <c r="G424" s="698"/>
      <c r="H424" s="696"/>
      <c r="I424" s="697"/>
      <c r="J424" s="697"/>
      <c r="K424" s="697"/>
      <c r="L424" s="697"/>
      <c r="M424" s="697"/>
      <c r="N424" s="697"/>
      <c r="O424" s="697"/>
      <c r="P424" s="699"/>
      <c r="Q424" s="361">
        <f aca="true" t="shared" si="75" ref="Q424:Q431">SUM(E424:P424)</f>
        <v>0</v>
      </c>
    </row>
    <row r="425" spans="1:17" s="752" customFormat="1" ht="14.25" customHeight="1">
      <c r="A425" s="2033"/>
      <c r="B425" s="2036"/>
      <c r="C425" s="2036"/>
      <c r="D425" s="1268" t="s">
        <v>838</v>
      </c>
      <c r="E425" s="696">
        <v>-19440</v>
      </c>
      <c r="F425" s="697">
        <v>-7982</v>
      </c>
      <c r="G425" s="698">
        <v>-16232</v>
      </c>
      <c r="H425" s="696">
        <v>-1488</v>
      </c>
      <c r="I425" s="697">
        <v>-6650</v>
      </c>
      <c r="J425" s="697">
        <v>-22565</v>
      </c>
      <c r="K425" s="697">
        <v>-30540</v>
      </c>
      <c r="L425" s="697">
        <v>-15660</v>
      </c>
      <c r="M425" s="697">
        <v>-16740</v>
      </c>
      <c r="N425" s="697">
        <v>-17570</v>
      </c>
      <c r="O425" s="697">
        <v>-13440</v>
      </c>
      <c r="P425" s="699">
        <v>25680</v>
      </c>
      <c r="Q425" s="361">
        <f t="shared" si="75"/>
        <v>-142627</v>
      </c>
    </row>
    <row r="426" spans="1:17" s="752" customFormat="1" ht="14.25" customHeight="1">
      <c r="A426" s="2033"/>
      <c r="B426" s="2036"/>
      <c r="C426" s="2036"/>
      <c r="D426" s="1268" t="s">
        <v>839</v>
      </c>
      <c r="E426" s="696"/>
      <c r="F426" s="697"/>
      <c r="G426" s="698"/>
      <c r="H426" s="696">
        <v>1752</v>
      </c>
      <c r="I426" s="697"/>
      <c r="J426" s="697">
        <v>600</v>
      </c>
      <c r="K426" s="697">
        <v>6000</v>
      </c>
      <c r="L426" s="697">
        <v>225</v>
      </c>
      <c r="M426" s="697">
        <v>150</v>
      </c>
      <c r="N426" s="697"/>
      <c r="O426" s="697">
        <v>4200</v>
      </c>
      <c r="P426" s="699"/>
      <c r="Q426" s="361">
        <f t="shared" si="75"/>
        <v>12927</v>
      </c>
    </row>
    <row r="427" spans="1:17" s="752" customFormat="1" ht="14.25" customHeight="1">
      <c r="A427" s="2033"/>
      <c r="B427" s="2036"/>
      <c r="C427" s="2036"/>
      <c r="D427" s="1268" t="s">
        <v>455</v>
      </c>
      <c r="E427" s="696"/>
      <c r="F427" s="697"/>
      <c r="G427" s="698"/>
      <c r="H427" s="696">
        <v>-1752</v>
      </c>
      <c r="I427" s="697"/>
      <c r="J427" s="697">
        <v>-600</v>
      </c>
      <c r="K427" s="697"/>
      <c r="L427" s="697">
        <v>-225</v>
      </c>
      <c r="M427" s="697">
        <v>-150</v>
      </c>
      <c r="N427" s="697"/>
      <c r="O427" s="697">
        <v>-6100</v>
      </c>
      <c r="P427" s="699">
        <v>-8400</v>
      </c>
      <c r="Q427" s="361">
        <f t="shared" si="75"/>
        <v>-17227</v>
      </c>
    </row>
    <row r="428" spans="1:17" s="752" customFormat="1" ht="14.25" customHeight="1">
      <c r="A428" s="2033"/>
      <c r="B428" s="2036"/>
      <c r="C428" s="2036"/>
      <c r="D428" s="1268" t="s">
        <v>445</v>
      </c>
      <c r="E428" s="696"/>
      <c r="F428" s="697">
        <v>7982</v>
      </c>
      <c r="G428" s="698">
        <v>12200</v>
      </c>
      <c r="H428" s="696">
        <v>1488</v>
      </c>
      <c r="I428" s="697">
        <v>6650</v>
      </c>
      <c r="J428" s="697">
        <v>22565</v>
      </c>
      <c r="K428" s="697">
        <v>26940</v>
      </c>
      <c r="L428" s="697">
        <v>18010</v>
      </c>
      <c r="M428" s="697">
        <v>16740</v>
      </c>
      <c r="N428" s="697">
        <v>15860</v>
      </c>
      <c r="O428" s="697">
        <v>32360</v>
      </c>
      <c r="P428" s="699"/>
      <c r="Q428" s="361">
        <f t="shared" si="75"/>
        <v>160795</v>
      </c>
    </row>
    <row r="429" spans="1:17" s="752" customFormat="1" ht="14.25" customHeight="1">
      <c r="A429" s="2033"/>
      <c r="B429" s="2036"/>
      <c r="C429" s="2036"/>
      <c r="D429" s="1268" t="s">
        <v>531</v>
      </c>
      <c r="E429" s="696"/>
      <c r="F429" s="697"/>
      <c r="G429" s="698">
        <v>4032</v>
      </c>
      <c r="H429" s="696"/>
      <c r="I429" s="697"/>
      <c r="J429" s="697"/>
      <c r="K429" s="697"/>
      <c r="L429" s="697"/>
      <c r="M429" s="697"/>
      <c r="N429" s="697"/>
      <c r="O429" s="697"/>
      <c r="P429" s="699"/>
      <c r="Q429" s="361">
        <f t="shared" si="75"/>
        <v>4032</v>
      </c>
    </row>
    <row r="430" spans="1:256" s="752" customFormat="1" ht="14.25" customHeight="1">
      <c r="A430" s="2033"/>
      <c r="B430" s="2036"/>
      <c r="C430" s="2036"/>
      <c r="D430" s="1268" t="s">
        <v>1153</v>
      </c>
      <c r="E430" s="696"/>
      <c r="F430" s="697"/>
      <c r="G430" s="698"/>
      <c r="H430" s="696"/>
      <c r="I430" s="697"/>
      <c r="J430" s="697"/>
      <c r="K430" s="697">
        <v>3600</v>
      </c>
      <c r="L430" s="697"/>
      <c r="M430" s="697"/>
      <c r="N430" s="697">
        <v>16610</v>
      </c>
      <c r="O430" s="697">
        <v>19540</v>
      </c>
      <c r="P430" s="699">
        <v>8400</v>
      </c>
      <c r="Q430" s="361">
        <f t="shared" si="75"/>
        <v>48150</v>
      </c>
      <c r="R430" s="758"/>
      <c r="S430" s="758"/>
      <c r="T430" s="758"/>
      <c r="U430" s="758"/>
      <c r="V430" s="758"/>
      <c r="W430" s="758"/>
      <c r="X430" s="758"/>
      <c r="Y430" s="758"/>
      <c r="Z430" s="758"/>
      <c r="AA430" s="758"/>
      <c r="AB430" s="758"/>
      <c r="AC430" s="758"/>
      <c r="AD430" s="758"/>
      <c r="AE430" s="758"/>
      <c r="AF430" s="758"/>
      <c r="AG430" s="758"/>
      <c r="AH430" s="758"/>
      <c r="AI430" s="758"/>
      <c r="AJ430" s="758"/>
      <c r="AK430" s="758"/>
      <c r="AL430" s="758"/>
      <c r="AM430" s="758"/>
      <c r="AN430" s="758"/>
      <c r="AO430" s="758"/>
      <c r="AP430" s="758"/>
      <c r="AQ430" s="758"/>
      <c r="AR430" s="758"/>
      <c r="AS430" s="758"/>
      <c r="AT430" s="758"/>
      <c r="AU430" s="758"/>
      <c r="AV430" s="758"/>
      <c r="AW430" s="758"/>
      <c r="AX430" s="758"/>
      <c r="AY430" s="758"/>
      <c r="AZ430" s="758"/>
      <c r="BA430" s="758"/>
      <c r="BB430" s="758"/>
      <c r="BC430" s="758"/>
      <c r="BD430" s="758"/>
      <c r="BE430" s="758"/>
      <c r="BF430" s="758"/>
      <c r="BG430" s="758"/>
      <c r="BH430" s="758"/>
      <c r="BI430" s="758"/>
      <c r="BJ430" s="758"/>
      <c r="BK430" s="758"/>
      <c r="BL430" s="758"/>
      <c r="BM430" s="758"/>
      <c r="BN430" s="758"/>
      <c r="BO430" s="758"/>
      <c r="BP430" s="758"/>
      <c r="BQ430" s="758"/>
      <c r="BR430" s="758"/>
      <c r="BS430" s="758"/>
      <c r="BT430" s="758"/>
      <c r="BU430" s="758"/>
      <c r="BV430" s="758"/>
      <c r="BW430" s="758"/>
      <c r="BX430" s="758"/>
      <c r="BY430" s="758"/>
      <c r="BZ430" s="758"/>
      <c r="CA430" s="758"/>
      <c r="CB430" s="758"/>
      <c r="CC430" s="758"/>
      <c r="CD430" s="758"/>
      <c r="CE430" s="758"/>
      <c r="CF430" s="758"/>
      <c r="CG430" s="758"/>
      <c r="CH430" s="758"/>
      <c r="CI430" s="758"/>
      <c r="CJ430" s="758"/>
      <c r="CK430" s="758"/>
      <c r="CL430" s="758"/>
      <c r="CM430" s="758"/>
      <c r="CN430" s="758"/>
      <c r="CO430" s="758"/>
      <c r="CP430" s="758"/>
      <c r="CQ430" s="758"/>
      <c r="CR430" s="758"/>
      <c r="CS430" s="758"/>
      <c r="CT430" s="758"/>
      <c r="CU430" s="758"/>
      <c r="CV430" s="758"/>
      <c r="CW430" s="758"/>
      <c r="CX430" s="758"/>
      <c r="CY430" s="758"/>
      <c r="CZ430" s="758"/>
      <c r="DA430" s="758"/>
      <c r="DB430" s="758"/>
      <c r="DC430" s="758"/>
      <c r="DD430" s="758"/>
      <c r="DE430" s="758"/>
      <c r="DF430" s="758"/>
      <c r="DG430" s="758"/>
      <c r="DH430" s="758"/>
      <c r="DI430" s="758"/>
      <c r="DJ430" s="758"/>
      <c r="DK430" s="758"/>
      <c r="DL430" s="758"/>
      <c r="DM430" s="758"/>
      <c r="DN430" s="758"/>
      <c r="DO430" s="758"/>
      <c r="DP430" s="758"/>
      <c r="DQ430" s="758"/>
      <c r="DR430" s="758"/>
      <c r="DS430" s="758"/>
      <c r="DT430" s="758"/>
      <c r="DU430" s="758"/>
      <c r="DV430" s="758"/>
      <c r="DW430" s="758"/>
      <c r="DX430" s="758"/>
      <c r="DY430" s="758"/>
      <c r="DZ430" s="758"/>
      <c r="EA430" s="758"/>
      <c r="EB430" s="758"/>
      <c r="EC430" s="758"/>
      <c r="ED430" s="758"/>
      <c r="EE430" s="758"/>
      <c r="EF430" s="758"/>
      <c r="EG430" s="758"/>
      <c r="EH430" s="758"/>
      <c r="EI430" s="758"/>
      <c r="EJ430" s="758"/>
      <c r="EK430" s="758"/>
      <c r="EL430" s="758"/>
      <c r="EM430" s="758"/>
      <c r="EN430" s="758"/>
      <c r="EO430" s="758"/>
      <c r="EP430" s="758"/>
      <c r="EQ430" s="758"/>
      <c r="ER430" s="758"/>
      <c r="ES430" s="758"/>
      <c r="ET430" s="758"/>
      <c r="EU430" s="758"/>
      <c r="EV430" s="758"/>
      <c r="EW430" s="758"/>
      <c r="EX430" s="758"/>
      <c r="EY430" s="758"/>
      <c r="EZ430" s="758"/>
      <c r="FA430" s="758"/>
      <c r="FB430" s="758"/>
      <c r="FC430" s="758"/>
      <c r="FD430" s="758"/>
      <c r="FE430" s="758"/>
      <c r="FF430" s="758"/>
      <c r="FG430" s="758"/>
      <c r="FH430" s="758"/>
      <c r="FI430" s="758"/>
      <c r="FJ430" s="758"/>
      <c r="FK430" s="758"/>
      <c r="FL430" s="758"/>
      <c r="FM430" s="758"/>
      <c r="FN430" s="758"/>
      <c r="FO430" s="758"/>
      <c r="FP430" s="758"/>
      <c r="FQ430" s="758"/>
      <c r="FR430" s="758"/>
      <c r="FS430" s="758"/>
      <c r="FT430" s="758"/>
      <c r="FU430" s="758"/>
      <c r="FV430" s="758"/>
      <c r="FW430" s="758"/>
      <c r="FX430" s="758"/>
      <c r="FY430" s="758"/>
      <c r="FZ430" s="758"/>
      <c r="GA430" s="758"/>
      <c r="GB430" s="758"/>
      <c r="GC430" s="758"/>
      <c r="GD430" s="758"/>
      <c r="GE430" s="758"/>
      <c r="GF430" s="758"/>
      <c r="GG430" s="758"/>
      <c r="GH430" s="758"/>
      <c r="GI430" s="758"/>
      <c r="GJ430" s="758"/>
      <c r="GK430" s="758"/>
      <c r="GL430" s="758"/>
      <c r="GM430" s="758"/>
      <c r="GN430" s="758"/>
      <c r="GO430" s="758"/>
      <c r="GP430" s="758"/>
      <c r="GQ430" s="758"/>
      <c r="GR430" s="758"/>
      <c r="GS430" s="758"/>
      <c r="GT430" s="758"/>
      <c r="GU430" s="758"/>
      <c r="GV430" s="758"/>
      <c r="GW430" s="758"/>
      <c r="GX430" s="758"/>
      <c r="GY430" s="758"/>
      <c r="GZ430" s="758"/>
      <c r="HA430" s="758"/>
      <c r="HB430" s="758"/>
      <c r="HC430" s="758"/>
      <c r="HD430" s="758"/>
      <c r="HE430" s="758"/>
      <c r="HF430" s="758"/>
      <c r="HG430" s="758"/>
      <c r="HH430" s="758"/>
      <c r="HI430" s="758"/>
      <c r="HJ430" s="758"/>
      <c r="HK430" s="758"/>
      <c r="HL430" s="758"/>
      <c r="HM430" s="758"/>
      <c r="HN430" s="758"/>
      <c r="HO430" s="758"/>
      <c r="HP430" s="758"/>
      <c r="HQ430" s="758"/>
      <c r="HR430" s="758"/>
      <c r="HS430" s="758"/>
      <c r="HT430" s="758"/>
      <c r="HU430" s="758"/>
      <c r="HV430" s="758"/>
      <c r="HW430" s="758"/>
      <c r="HX430" s="758"/>
      <c r="HY430" s="758"/>
      <c r="HZ430" s="758"/>
      <c r="IA430" s="758"/>
      <c r="IB430" s="758"/>
      <c r="IC430" s="758"/>
      <c r="ID430" s="758"/>
      <c r="IE430" s="758"/>
      <c r="IF430" s="758"/>
      <c r="IG430" s="758"/>
      <c r="IH430" s="758"/>
      <c r="II430" s="758"/>
      <c r="IJ430" s="758"/>
      <c r="IK430" s="758"/>
      <c r="IL430" s="758"/>
      <c r="IM430" s="758"/>
      <c r="IN430" s="758"/>
      <c r="IO430" s="758"/>
      <c r="IP430" s="758"/>
      <c r="IQ430" s="758"/>
      <c r="IR430" s="758"/>
      <c r="IS430" s="758"/>
      <c r="IT430" s="758"/>
      <c r="IU430" s="758"/>
      <c r="IV430" s="758"/>
    </row>
    <row r="431" spans="1:17" s="752" customFormat="1" ht="14.25" customHeight="1">
      <c r="A431" s="2033"/>
      <c r="B431" s="2036"/>
      <c r="C431" s="2036"/>
      <c r="D431" s="1268" t="s">
        <v>733</v>
      </c>
      <c r="E431" s="375">
        <v>19440</v>
      </c>
      <c r="F431" s="375"/>
      <c r="G431" s="685"/>
      <c r="H431" s="419"/>
      <c r="I431" s="375"/>
      <c r="J431" s="371"/>
      <c r="K431" s="375"/>
      <c r="L431" s="697"/>
      <c r="M431" s="371"/>
      <c r="N431" s="371"/>
      <c r="O431" s="371"/>
      <c r="P431" s="556"/>
      <c r="Q431" s="361">
        <f t="shared" si="75"/>
        <v>19440</v>
      </c>
    </row>
    <row r="432" spans="1:18" s="752" customFormat="1" ht="15" customHeight="1" thickBot="1">
      <c r="A432" s="2034"/>
      <c r="B432" s="2036"/>
      <c r="C432" s="2038"/>
      <c r="D432" s="423" t="s">
        <v>446</v>
      </c>
      <c r="E432" s="430">
        <f>SUM(E422:E431)</f>
        <v>0</v>
      </c>
      <c r="F432" s="430">
        <f>SUM(F422:F431)</f>
        <v>0</v>
      </c>
      <c r="G432" s="686">
        <f>SUM(G422:G431)</f>
        <v>0</v>
      </c>
      <c r="H432" s="430">
        <f aca="true" t="shared" si="76" ref="H432:P432">SUM(H422:H431)</f>
        <v>0</v>
      </c>
      <c r="I432" s="430">
        <f t="shared" si="76"/>
        <v>0</v>
      </c>
      <c r="J432" s="430">
        <f t="shared" si="76"/>
        <v>0</v>
      </c>
      <c r="K432" s="430">
        <f t="shared" si="76"/>
        <v>6000</v>
      </c>
      <c r="L432" s="430">
        <f t="shared" si="76"/>
        <v>0</v>
      </c>
      <c r="M432" s="430">
        <f t="shared" si="76"/>
        <v>0</v>
      </c>
      <c r="N432" s="430">
        <f t="shared" si="76"/>
        <v>-480</v>
      </c>
      <c r="O432" s="430">
        <f t="shared" si="76"/>
        <v>0</v>
      </c>
      <c r="P432" s="687">
        <f t="shared" si="76"/>
        <v>-3570</v>
      </c>
      <c r="Q432" s="431">
        <f>SUM(Q422:Q431)</f>
        <v>1950</v>
      </c>
      <c r="R432" s="753">
        <f>Q417+Q421+Q432</f>
        <v>0</v>
      </c>
    </row>
    <row r="433" spans="1:17" s="751" customFormat="1" ht="17.25" customHeight="1" hidden="1">
      <c r="A433" s="689"/>
      <c r="B433" s="448"/>
      <c r="C433" s="690"/>
      <c r="D433" s="690"/>
      <c r="E433" s="690"/>
      <c r="F433" s="690"/>
      <c r="G433" s="704"/>
      <c r="H433" s="705"/>
      <c r="I433" s="690"/>
      <c r="J433" s="690"/>
      <c r="K433" s="690"/>
      <c r="L433" s="690"/>
      <c r="M433" s="690"/>
      <c r="N433" s="690"/>
      <c r="O433" s="690"/>
      <c r="P433" s="704"/>
      <c r="Q433" s="1004"/>
    </row>
    <row r="434" spans="1:17" s="752" customFormat="1" ht="17.25" customHeight="1">
      <c r="A434" s="2032">
        <v>20</v>
      </c>
      <c r="B434" s="2035" t="s">
        <v>1157</v>
      </c>
      <c r="C434" s="2028" t="s">
        <v>435</v>
      </c>
      <c r="D434" s="415" t="s">
        <v>436</v>
      </c>
      <c r="E434" s="707">
        <v>-24980</v>
      </c>
      <c r="F434" s="708"/>
      <c r="G434" s="709"/>
      <c r="H434" s="707"/>
      <c r="I434" s="708"/>
      <c r="J434" s="708"/>
      <c r="K434" s="708">
        <v>0</v>
      </c>
      <c r="L434" s="708"/>
      <c r="M434" s="708"/>
      <c r="N434" s="708">
        <v>0</v>
      </c>
      <c r="O434" s="708"/>
      <c r="P434" s="695"/>
      <c r="Q434" s="404">
        <f>SUM(E434:P434)</f>
        <v>-24980</v>
      </c>
    </row>
    <row r="435" spans="1:17" s="752" customFormat="1" ht="14.25" customHeight="1">
      <c r="A435" s="2033"/>
      <c r="B435" s="2036"/>
      <c r="C435" s="2029"/>
      <c r="D435" s="426" t="s">
        <v>825</v>
      </c>
      <c r="E435" s="696">
        <v>0</v>
      </c>
      <c r="F435" s="697"/>
      <c r="G435" s="698"/>
      <c r="H435" s="696"/>
      <c r="I435" s="697"/>
      <c r="J435" s="697"/>
      <c r="K435" s="697">
        <v>-6000</v>
      </c>
      <c r="L435" s="697"/>
      <c r="M435" s="697"/>
      <c r="N435" s="697">
        <v>0</v>
      </c>
      <c r="O435" s="697"/>
      <c r="P435" s="698"/>
      <c r="Q435" s="412">
        <f>SUM(E435:P435)</f>
        <v>-6000</v>
      </c>
    </row>
    <row r="436" spans="1:17" s="752" customFormat="1" ht="14.25" customHeight="1">
      <c r="A436" s="2033"/>
      <c r="B436" s="2036"/>
      <c r="C436" s="2029"/>
      <c r="D436" s="426" t="s">
        <v>437</v>
      </c>
      <c r="E436" s="696">
        <v>-5326</v>
      </c>
      <c r="F436" s="697"/>
      <c r="G436" s="698"/>
      <c r="H436" s="696"/>
      <c r="I436" s="697"/>
      <c r="J436" s="697"/>
      <c r="K436" s="697">
        <v>0</v>
      </c>
      <c r="L436" s="697"/>
      <c r="M436" s="697"/>
      <c r="N436" s="697">
        <v>0</v>
      </c>
      <c r="O436" s="697"/>
      <c r="P436" s="698"/>
      <c r="Q436" s="412">
        <f>SUM(E436:P436)</f>
        <v>-5326</v>
      </c>
    </row>
    <row r="437" spans="1:17" s="752" customFormat="1" ht="14.25" customHeight="1">
      <c r="A437" s="2033"/>
      <c r="B437" s="2036"/>
      <c r="C437" s="2029"/>
      <c r="D437" s="410" t="s">
        <v>438</v>
      </c>
      <c r="E437" s="411">
        <f>SUM(E434:E436)</f>
        <v>-30306</v>
      </c>
      <c r="F437" s="368">
        <f>SUM(F434:F436)</f>
        <v>0</v>
      </c>
      <c r="G437" s="700">
        <f>SUM(G434:G436)</f>
        <v>0</v>
      </c>
      <c r="H437" s="411">
        <f>SUM(H434:H436)</f>
        <v>0</v>
      </c>
      <c r="I437" s="368">
        <f>SUM(I434:I436)</f>
        <v>0</v>
      </c>
      <c r="J437" s="368">
        <f>SUM(J434:J436)</f>
        <v>0</v>
      </c>
      <c r="K437" s="368">
        <f aca="true" t="shared" si="77" ref="K437:P437">SUM(K434:K436)</f>
        <v>-6000</v>
      </c>
      <c r="L437" s="368">
        <f t="shared" si="77"/>
        <v>0</v>
      </c>
      <c r="M437" s="368">
        <f t="shared" si="77"/>
        <v>0</v>
      </c>
      <c r="N437" s="368">
        <f t="shared" si="77"/>
        <v>0</v>
      </c>
      <c r="O437" s="368">
        <f t="shared" si="77"/>
        <v>0</v>
      </c>
      <c r="P437" s="700">
        <f t="shared" si="77"/>
        <v>0</v>
      </c>
      <c r="Q437" s="418">
        <f>SUM(Q434:Q436)</f>
        <v>-36306</v>
      </c>
    </row>
    <row r="438" spans="1:17" s="752" customFormat="1" ht="14.25" customHeight="1">
      <c r="A438" s="2033"/>
      <c r="B438" s="2036"/>
      <c r="C438" s="2029"/>
      <c r="D438" s="426" t="s">
        <v>439</v>
      </c>
      <c r="E438" s="696">
        <v>4694</v>
      </c>
      <c r="F438" s="697"/>
      <c r="G438" s="698"/>
      <c r="H438" s="696"/>
      <c r="I438" s="697"/>
      <c r="J438" s="697"/>
      <c r="K438" s="697">
        <v>0</v>
      </c>
      <c r="L438" s="697"/>
      <c r="M438" s="697"/>
      <c r="N438" s="697">
        <v>0</v>
      </c>
      <c r="O438" s="697"/>
      <c r="P438" s="698"/>
      <c r="Q438" s="412">
        <f>SUM(E438:P438)</f>
        <v>4694</v>
      </c>
    </row>
    <row r="439" spans="1:17" s="752" customFormat="1" ht="14.25" customHeight="1">
      <c r="A439" s="2033"/>
      <c r="B439" s="2036"/>
      <c r="C439" s="2029"/>
      <c r="D439" s="426" t="s">
        <v>826</v>
      </c>
      <c r="E439" s="696">
        <v>24401</v>
      </c>
      <c r="F439" s="697"/>
      <c r="G439" s="698"/>
      <c r="H439" s="696"/>
      <c r="I439" s="697"/>
      <c r="J439" s="697"/>
      <c r="K439" s="697">
        <v>0</v>
      </c>
      <c r="L439" s="697"/>
      <c r="M439" s="697"/>
      <c r="N439" s="697">
        <v>8640</v>
      </c>
      <c r="O439" s="697"/>
      <c r="P439" s="698"/>
      <c r="Q439" s="412">
        <f>SUM(E439:P439)</f>
        <v>33041</v>
      </c>
    </row>
    <row r="440" spans="1:17" s="752" customFormat="1" ht="14.25" customHeight="1">
      <c r="A440" s="2033"/>
      <c r="B440" s="2036"/>
      <c r="C440" s="2029"/>
      <c r="D440" s="426" t="s">
        <v>440</v>
      </c>
      <c r="E440" s="696">
        <v>1211</v>
      </c>
      <c r="F440" s="697"/>
      <c r="G440" s="698"/>
      <c r="H440" s="696"/>
      <c r="I440" s="697"/>
      <c r="J440" s="697"/>
      <c r="K440" s="697">
        <v>0</v>
      </c>
      <c r="L440" s="697"/>
      <c r="M440" s="697"/>
      <c r="N440" s="697">
        <v>0</v>
      </c>
      <c r="O440" s="697"/>
      <c r="P440" s="698"/>
      <c r="Q440" s="412">
        <f>SUM(E440:P440)</f>
        <v>1211</v>
      </c>
    </row>
    <row r="441" spans="1:17" s="752" customFormat="1" ht="14.25" customHeight="1">
      <c r="A441" s="2033"/>
      <c r="B441" s="2036"/>
      <c r="C441" s="2030"/>
      <c r="D441" s="410" t="s">
        <v>441</v>
      </c>
      <c r="E441" s="369">
        <f>SUM(E438:E440)</f>
        <v>30306</v>
      </c>
      <c r="F441" s="365">
        <f>SUM(F438:F440)</f>
        <v>0</v>
      </c>
      <c r="G441" s="710">
        <f>SUM(G438:G440)</f>
        <v>0</v>
      </c>
      <c r="H441" s="369">
        <f>SUM(H438:H440)</f>
        <v>0</v>
      </c>
      <c r="I441" s="365">
        <f>SUM(I438:I440)</f>
        <v>0</v>
      </c>
      <c r="J441" s="365">
        <f>SUM(J438:J440)</f>
        <v>0</v>
      </c>
      <c r="K441" s="365">
        <f aca="true" t="shared" si="78" ref="K441:P441">SUM(K438:K440)</f>
        <v>0</v>
      </c>
      <c r="L441" s="365">
        <f t="shared" si="78"/>
        <v>0</v>
      </c>
      <c r="M441" s="365">
        <f t="shared" si="78"/>
        <v>0</v>
      </c>
      <c r="N441" s="365">
        <f t="shared" si="78"/>
        <v>8640</v>
      </c>
      <c r="O441" s="365">
        <f t="shared" si="78"/>
        <v>0</v>
      </c>
      <c r="P441" s="561">
        <f t="shared" si="78"/>
        <v>0</v>
      </c>
      <c r="Q441" s="366">
        <f>SUM(Q438:Q440)</f>
        <v>38946</v>
      </c>
    </row>
    <row r="442" spans="1:17" s="752" customFormat="1" ht="14.25" customHeight="1">
      <c r="A442" s="2033"/>
      <c r="B442" s="2036"/>
      <c r="C442" s="2037" t="s">
        <v>444</v>
      </c>
      <c r="D442" s="1269" t="s">
        <v>838</v>
      </c>
      <c r="E442" s="696">
        <v>-11880</v>
      </c>
      <c r="F442" s="697">
        <v>-7990</v>
      </c>
      <c r="G442" s="698">
        <v>-45140</v>
      </c>
      <c r="H442" s="696"/>
      <c r="I442" s="697">
        <v>-6496</v>
      </c>
      <c r="J442" s="697">
        <v>-17790</v>
      </c>
      <c r="K442" s="697">
        <v>-24660</v>
      </c>
      <c r="L442" s="697">
        <v>-4680</v>
      </c>
      <c r="M442" s="697">
        <v>-19260</v>
      </c>
      <c r="N442" s="697">
        <v>-15860</v>
      </c>
      <c r="O442" s="697">
        <v>-32360</v>
      </c>
      <c r="P442" s="697">
        <v>-3570</v>
      </c>
      <c r="Q442" s="361">
        <f>SUM(E442:P442)</f>
        <v>-189686</v>
      </c>
    </row>
    <row r="443" spans="1:17" s="752" customFormat="1" ht="14.25" customHeight="1" hidden="1">
      <c r="A443" s="2033"/>
      <c r="B443" s="2036"/>
      <c r="C443" s="2036"/>
      <c r="D443" s="1270" t="s">
        <v>839</v>
      </c>
      <c r="E443" s="696"/>
      <c r="F443" s="697"/>
      <c r="G443" s="698"/>
      <c r="H443" s="696"/>
      <c r="I443" s="697"/>
      <c r="J443" s="697"/>
      <c r="K443" s="697"/>
      <c r="L443" s="697"/>
      <c r="M443" s="697"/>
      <c r="N443" s="697"/>
      <c r="O443" s="697"/>
      <c r="P443" s="697"/>
      <c r="Q443" s="361">
        <f>SUM(E443:P443)</f>
        <v>0</v>
      </c>
    </row>
    <row r="444" spans="1:17" s="752" customFormat="1" ht="14.25" customHeight="1">
      <c r="A444" s="2033"/>
      <c r="B444" s="2036"/>
      <c r="C444" s="2036"/>
      <c r="D444" s="1270" t="s">
        <v>839</v>
      </c>
      <c r="E444" s="696"/>
      <c r="F444" s="697"/>
      <c r="G444" s="698"/>
      <c r="H444" s="696">
        <v>600</v>
      </c>
      <c r="I444" s="697"/>
      <c r="J444" s="697">
        <v>240</v>
      </c>
      <c r="K444" s="697">
        <v>6000</v>
      </c>
      <c r="L444" s="697">
        <v>225</v>
      </c>
      <c r="M444" s="697">
        <v>150</v>
      </c>
      <c r="N444" s="697"/>
      <c r="O444" s="697">
        <v>6100</v>
      </c>
      <c r="P444" s="697">
        <v>8400</v>
      </c>
      <c r="Q444" s="361">
        <f>SUM(E444:P444)</f>
        <v>21715</v>
      </c>
    </row>
    <row r="445" spans="1:17" s="752" customFormat="1" ht="14.25" customHeight="1">
      <c r="A445" s="2033"/>
      <c r="B445" s="2036"/>
      <c r="C445" s="2036"/>
      <c r="D445" s="1270" t="s">
        <v>733</v>
      </c>
      <c r="E445" s="696">
        <v>11880</v>
      </c>
      <c r="F445" s="697"/>
      <c r="G445" s="698"/>
      <c r="H445" s="696"/>
      <c r="I445" s="697"/>
      <c r="J445" s="697"/>
      <c r="K445" s="697"/>
      <c r="L445" s="697"/>
      <c r="M445" s="697"/>
      <c r="N445" s="697"/>
      <c r="O445" s="697"/>
      <c r="P445" s="697"/>
      <c r="Q445" s="361">
        <f>SUM(E445:P445)</f>
        <v>11880</v>
      </c>
    </row>
    <row r="446" spans="1:17" s="752" customFormat="1" ht="14.25" customHeight="1">
      <c r="A446" s="2033"/>
      <c r="B446" s="2036"/>
      <c r="C446" s="2036"/>
      <c r="D446" s="1270" t="s">
        <v>455</v>
      </c>
      <c r="E446" s="696"/>
      <c r="F446" s="697"/>
      <c r="G446" s="698"/>
      <c r="H446" s="696">
        <v>-600</v>
      </c>
      <c r="I446" s="697"/>
      <c r="J446" s="697">
        <v>-240</v>
      </c>
      <c r="K446" s="697"/>
      <c r="L446" s="697">
        <v>-225</v>
      </c>
      <c r="M446" s="697">
        <v>-150</v>
      </c>
      <c r="N446" s="697"/>
      <c r="O446" s="697">
        <v>-4200</v>
      </c>
      <c r="P446" s="697">
        <v>-25680</v>
      </c>
      <c r="Q446" s="361">
        <f>SUM(E446:P446)</f>
        <v>-31095</v>
      </c>
    </row>
    <row r="447" spans="1:17" s="752" customFormat="1" ht="14.25" customHeight="1">
      <c r="A447" s="2033"/>
      <c r="B447" s="2036"/>
      <c r="C447" s="2036"/>
      <c r="D447" s="1270" t="s">
        <v>1152</v>
      </c>
      <c r="E447" s="696"/>
      <c r="F447" s="697"/>
      <c r="G447" s="698"/>
      <c r="H447" s="696"/>
      <c r="I447" s="697"/>
      <c r="J447" s="697"/>
      <c r="K447" s="697">
        <v>-3600</v>
      </c>
      <c r="L447" s="697"/>
      <c r="M447" s="697"/>
      <c r="N447" s="697">
        <v>-16610</v>
      </c>
      <c r="O447" s="697">
        <v>-19540</v>
      </c>
      <c r="P447" s="697">
        <v>-8400</v>
      </c>
      <c r="Q447" s="361">
        <f>SUM(E447:P447)</f>
        <v>-48150</v>
      </c>
    </row>
    <row r="448" spans="1:17" s="752" customFormat="1" ht="14.25" customHeight="1">
      <c r="A448" s="2033"/>
      <c r="B448" s="2036"/>
      <c r="C448" s="2036"/>
      <c r="D448" s="1270" t="s">
        <v>445</v>
      </c>
      <c r="E448" s="696"/>
      <c r="F448" s="697">
        <v>7990</v>
      </c>
      <c r="G448" s="698">
        <v>45140</v>
      </c>
      <c r="H448" s="696"/>
      <c r="I448" s="697">
        <v>6496</v>
      </c>
      <c r="J448" s="697">
        <v>17790</v>
      </c>
      <c r="K448" s="697">
        <v>28260</v>
      </c>
      <c r="L448" s="697">
        <v>2330</v>
      </c>
      <c r="M448" s="697">
        <v>19260</v>
      </c>
      <c r="N448" s="697">
        <v>8450</v>
      </c>
      <c r="O448" s="697">
        <v>13440</v>
      </c>
      <c r="P448" s="697"/>
      <c r="Q448" s="361">
        <f>SUM(E448:P448)</f>
        <v>149156</v>
      </c>
    </row>
    <row r="449" spans="1:17" s="752" customFormat="1" ht="14.25" customHeight="1" hidden="1">
      <c r="A449" s="2033"/>
      <c r="B449" s="2036"/>
      <c r="C449" s="2036"/>
      <c r="D449" s="1270" t="s">
        <v>1152</v>
      </c>
      <c r="E449" s="696"/>
      <c r="F449" s="697"/>
      <c r="G449" s="698"/>
      <c r="H449" s="696"/>
      <c r="I449" s="697"/>
      <c r="J449" s="697"/>
      <c r="K449" s="697"/>
      <c r="L449" s="697"/>
      <c r="M449" s="697"/>
      <c r="N449" s="697"/>
      <c r="O449" s="697"/>
      <c r="P449" s="697"/>
      <c r="Q449" s="361">
        <f>SUM(E449:P449)</f>
        <v>0</v>
      </c>
    </row>
    <row r="450" spans="1:17" s="752" customFormat="1" ht="14.25" customHeight="1">
      <c r="A450" s="2033"/>
      <c r="B450" s="2036"/>
      <c r="C450" s="2036"/>
      <c r="D450" s="1270" t="s">
        <v>1154</v>
      </c>
      <c r="E450" s="696"/>
      <c r="F450" s="697"/>
      <c r="G450" s="698"/>
      <c r="H450" s="696"/>
      <c r="I450" s="697"/>
      <c r="J450" s="697"/>
      <c r="K450" s="697"/>
      <c r="L450" s="697">
        <v>2350</v>
      </c>
      <c r="M450" s="697"/>
      <c r="N450" s="697">
        <v>15380</v>
      </c>
      <c r="O450" s="697">
        <v>36560</v>
      </c>
      <c r="P450" s="697">
        <v>29250</v>
      </c>
      <c r="Q450" s="361">
        <f>SUM(E450:P450)</f>
        <v>83540</v>
      </c>
    </row>
    <row r="451" spans="1:18" s="752" customFormat="1" ht="15" customHeight="1" thickBot="1">
      <c r="A451" s="2034"/>
      <c r="B451" s="2036"/>
      <c r="C451" s="2038"/>
      <c r="D451" s="1271" t="s">
        <v>446</v>
      </c>
      <c r="E451" s="430">
        <f aca="true" t="shared" si="79" ref="E451:Q451">SUM(E442:E450)</f>
        <v>0</v>
      </c>
      <c r="F451" s="430">
        <f t="shared" si="79"/>
        <v>0</v>
      </c>
      <c r="G451" s="686">
        <f t="shared" si="79"/>
        <v>0</v>
      </c>
      <c r="H451" s="430">
        <f t="shared" si="79"/>
        <v>0</v>
      </c>
      <c r="I451" s="430">
        <f t="shared" si="79"/>
        <v>0</v>
      </c>
      <c r="J451" s="430">
        <f t="shared" si="79"/>
        <v>0</v>
      </c>
      <c r="K451" s="430">
        <f t="shared" si="79"/>
        <v>6000</v>
      </c>
      <c r="L451" s="430">
        <f t="shared" si="79"/>
        <v>0</v>
      </c>
      <c r="M451" s="430">
        <f t="shared" si="79"/>
        <v>0</v>
      </c>
      <c r="N451" s="430">
        <f t="shared" si="79"/>
        <v>-8640</v>
      </c>
      <c r="O451" s="430">
        <f t="shared" si="79"/>
        <v>0</v>
      </c>
      <c r="P451" s="430">
        <f t="shared" si="79"/>
        <v>0</v>
      </c>
      <c r="Q451" s="431">
        <f t="shared" si="79"/>
        <v>-2640</v>
      </c>
      <c r="R451" s="753">
        <f>Q437+Q441+Q451</f>
        <v>0</v>
      </c>
    </row>
    <row r="452" spans="1:17" s="751" customFormat="1" ht="6.75" customHeight="1" thickBot="1">
      <c r="A452" s="689"/>
      <c r="B452" s="448"/>
      <c r="C452" s="690"/>
      <c r="D452" s="706"/>
      <c r="E452" s="712"/>
      <c r="F452" s="690"/>
      <c r="G452" s="704"/>
      <c r="H452" s="705"/>
      <c r="I452" s="690"/>
      <c r="J452" s="690"/>
      <c r="K452" s="690"/>
      <c r="L452" s="690"/>
      <c r="M452" s="690"/>
      <c r="N452" s="690"/>
      <c r="O452" s="690"/>
      <c r="P452" s="704"/>
      <c r="Q452" s="1004"/>
    </row>
    <row r="453" spans="1:17" s="752" customFormat="1" ht="14.25" customHeight="1">
      <c r="A453" s="2032">
        <v>21</v>
      </c>
      <c r="B453" s="2035" t="s">
        <v>1158</v>
      </c>
      <c r="C453" s="2039" t="s">
        <v>435</v>
      </c>
      <c r="D453" s="415" t="s">
        <v>436</v>
      </c>
      <c r="E453" s="707">
        <v>0</v>
      </c>
      <c r="F453" s="708">
        <v>-720</v>
      </c>
      <c r="G453" s="709">
        <v>-540</v>
      </c>
      <c r="H453" s="707">
        <v>0</v>
      </c>
      <c r="I453" s="708">
        <v>-1775</v>
      </c>
      <c r="J453" s="708">
        <v>-540</v>
      </c>
      <c r="K453" s="708"/>
      <c r="L453" s="708"/>
      <c r="M453" s="708">
        <v>0</v>
      </c>
      <c r="N453" s="708"/>
      <c r="O453" s="708"/>
      <c r="P453" s="709"/>
      <c r="Q453" s="404">
        <f>SUM(E453:P453)</f>
        <v>-3575</v>
      </c>
    </row>
    <row r="454" spans="1:17" s="752" customFormat="1" ht="14.25" customHeight="1">
      <c r="A454" s="2033"/>
      <c r="B454" s="2036"/>
      <c r="C454" s="2040"/>
      <c r="D454" s="426" t="s">
        <v>825</v>
      </c>
      <c r="E454" s="707">
        <v>0</v>
      </c>
      <c r="F454" s="697">
        <v>0</v>
      </c>
      <c r="G454" s="698">
        <v>0</v>
      </c>
      <c r="H454" s="696">
        <v>0</v>
      </c>
      <c r="I454" s="697">
        <v>0</v>
      </c>
      <c r="J454" s="697">
        <v>0</v>
      </c>
      <c r="K454" s="697"/>
      <c r="L454" s="697"/>
      <c r="M454" s="697">
        <v>0</v>
      </c>
      <c r="N454" s="697"/>
      <c r="O454" s="697"/>
      <c r="P454" s="698"/>
      <c r="Q454" s="412">
        <f>SUM(E454:P454)</f>
        <v>0</v>
      </c>
    </row>
    <row r="455" spans="1:17" s="752" customFormat="1" ht="14.25" customHeight="1">
      <c r="A455" s="2033"/>
      <c r="B455" s="2036"/>
      <c r="C455" s="2040"/>
      <c r="D455" s="426" t="s">
        <v>437</v>
      </c>
      <c r="E455" s="707">
        <v>0</v>
      </c>
      <c r="F455" s="697">
        <v>0</v>
      </c>
      <c r="G455" s="698">
        <v>0</v>
      </c>
      <c r="H455" s="696">
        <v>-40</v>
      </c>
      <c r="I455" s="697">
        <v>0</v>
      </c>
      <c r="J455" s="697">
        <v>0</v>
      </c>
      <c r="K455" s="697"/>
      <c r="L455" s="697"/>
      <c r="M455" s="697">
        <v>0</v>
      </c>
      <c r="N455" s="697"/>
      <c r="O455" s="697"/>
      <c r="P455" s="698"/>
      <c r="Q455" s="412">
        <f>SUM(E455:P455)</f>
        <v>-40</v>
      </c>
    </row>
    <row r="456" spans="1:17" s="752" customFormat="1" ht="14.25" customHeight="1">
      <c r="A456" s="2033"/>
      <c r="B456" s="2036"/>
      <c r="C456" s="2040"/>
      <c r="D456" s="410" t="s">
        <v>438</v>
      </c>
      <c r="E456" s="411">
        <f>SUM(E453:E455)</f>
        <v>0</v>
      </c>
      <c r="F456" s="368">
        <f>SUM(F453:F455)</f>
        <v>-720</v>
      </c>
      <c r="G456" s="700">
        <f>SUM(G453:G455)</f>
        <v>-540</v>
      </c>
      <c r="H456" s="411">
        <f>SUM(H453:H455)</f>
        <v>-40</v>
      </c>
      <c r="I456" s="368">
        <f>SUM(I453:I455)</f>
        <v>-1775</v>
      </c>
      <c r="J456" s="368">
        <f>SUM(J453:J455)</f>
        <v>-540</v>
      </c>
      <c r="K456" s="368">
        <f aca="true" t="shared" si="80" ref="K456:P456">SUM(K453:K455)</f>
        <v>0</v>
      </c>
      <c r="L456" s="368">
        <f t="shared" si="80"/>
        <v>0</v>
      </c>
      <c r="M456" s="368">
        <f t="shared" si="80"/>
        <v>0</v>
      </c>
      <c r="N456" s="368">
        <f t="shared" si="80"/>
        <v>0</v>
      </c>
      <c r="O456" s="368">
        <f t="shared" si="80"/>
        <v>0</v>
      </c>
      <c r="P456" s="700">
        <f t="shared" si="80"/>
        <v>0</v>
      </c>
      <c r="Q456" s="418">
        <f>SUM(Q453:Q455)</f>
        <v>-3615</v>
      </c>
    </row>
    <row r="457" spans="1:17" s="752" customFormat="1" ht="14.25" customHeight="1">
      <c r="A457" s="2033"/>
      <c r="B457" s="2036"/>
      <c r="C457" s="2040"/>
      <c r="D457" s="426" t="s">
        <v>439</v>
      </c>
      <c r="E457" s="696">
        <v>0</v>
      </c>
      <c r="F457" s="697">
        <v>0</v>
      </c>
      <c r="G457" s="698">
        <v>0</v>
      </c>
      <c r="H457" s="696">
        <v>0</v>
      </c>
      <c r="I457" s="697">
        <v>0</v>
      </c>
      <c r="J457" s="697">
        <v>0</v>
      </c>
      <c r="K457" s="697"/>
      <c r="L457" s="697"/>
      <c r="M457" s="697">
        <v>0</v>
      </c>
      <c r="N457" s="697"/>
      <c r="O457" s="697"/>
      <c r="P457" s="698"/>
      <c r="Q457" s="412">
        <f>SUM(E457:P457)</f>
        <v>0</v>
      </c>
    </row>
    <row r="458" spans="1:17" s="752" customFormat="1" ht="14.25" customHeight="1">
      <c r="A458" s="2033"/>
      <c r="B458" s="2036"/>
      <c r="C458" s="2040"/>
      <c r="D458" s="426" t="s">
        <v>826</v>
      </c>
      <c r="E458" s="696">
        <v>0</v>
      </c>
      <c r="F458" s="697">
        <v>0</v>
      </c>
      <c r="G458" s="698">
        <v>0</v>
      </c>
      <c r="H458" s="696">
        <v>0</v>
      </c>
      <c r="I458" s="697">
        <v>0</v>
      </c>
      <c r="J458" s="697">
        <v>0</v>
      </c>
      <c r="K458" s="697"/>
      <c r="L458" s="697"/>
      <c r="M458" s="697">
        <v>0</v>
      </c>
      <c r="N458" s="697"/>
      <c r="O458" s="697"/>
      <c r="P458" s="698"/>
      <c r="Q458" s="412">
        <f>SUM(E458:P458)</f>
        <v>0</v>
      </c>
    </row>
    <row r="459" spans="1:17" s="752" customFormat="1" ht="14.25" customHeight="1">
      <c r="A459" s="2033"/>
      <c r="B459" s="2036"/>
      <c r="C459" s="2040"/>
      <c r="D459" s="426" t="s">
        <v>440</v>
      </c>
      <c r="E459" s="696">
        <v>0</v>
      </c>
      <c r="F459" s="697">
        <v>0</v>
      </c>
      <c r="G459" s="698">
        <v>0</v>
      </c>
      <c r="H459" s="696">
        <v>0</v>
      </c>
      <c r="I459" s="697">
        <v>0</v>
      </c>
      <c r="J459" s="697">
        <v>0</v>
      </c>
      <c r="K459" s="697"/>
      <c r="L459" s="697"/>
      <c r="M459" s="697">
        <v>0</v>
      </c>
      <c r="N459" s="697"/>
      <c r="O459" s="697"/>
      <c r="P459" s="698"/>
      <c r="Q459" s="412">
        <f>SUM(E459:P459)</f>
        <v>0</v>
      </c>
    </row>
    <row r="460" spans="1:17" s="752" customFormat="1" ht="14.25" customHeight="1">
      <c r="A460" s="2033"/>
      <c r="B460" s="2036"/>
      <c r="C460" s="2041"/>
      <c r="D460" s="410" t="s">
        <v>441</v>
      </c>
      <c r="E460" s="369">
        <f>SUM(E457:E459)</f>
        <v>0</v>
      </c>
      <c r="F460" s="365">
        <f>SUM(F457:F459)</f>
        <v>0</v>
      </c>
      <c r="G460" s="710">
        <f>SUM(G457:G459)</f>
        <v>0</v>
      </c>
      <c r="H460" s="369">
        <f>SUM(H457:H459)</f>
        <v>0</v>
      </c>
      <c r="I460" s="365">
        <f>SUM(I457:I459)</f>
        <v>0</v>
      </c>
      <c r="J460" s="365">
        <f>SUM(J457:J459)</f>
        <v>0</v>
      </c>
      <c r="K460" s="365">
        <f aca="true" t="shared" si="81" ref="K460:P460">SUM(K457:K459)</f>
        <v>0</v>
      </c>
      <c r="L460" s="365">
        <f t="shared" si="81"/>
        <v>0</v>
      </c>
      <c r="M460" s="365">
        <f t="shared" si="81"/>
        <v>0</v>
      </c>
      <c r="N460" s="365">
        <f t="shared" si="81"/>
        <v>0</v>
      </c>
      <c r="O460" s="365">
        <f t="shared" si="81"/>
        <v>0</v>
      </c>
      <c r="P460" s="710">
        <f t="shared" si="81"/>
        <v>0</v>
      </c>
      <c r="Q460" s="366">
        <f>SUM(Q457:Q459)</f>
        <v>0</v>
      </c>
    </row>
    <row r="461" spans="1:17" s="752" customFormat="1" ht="14.25" customHeight="1" hidden="1">
      <c r="A461" s="2033"/>
      <c r="B461" s="2036"/>
      <c r="C461" s="2042" t="s">
        <v>444</v>
      </c>
      <c r="D461" s="409" t="s">
        <v>838</v>
      </c>
      <c r="E461" s="696"/>
      <c r="F461" s="697"/>
      <c r="G461" s="698"/>
      <c r="H461" s="696"/>
      <c r="I461" s="697"/>
      <c r="J461" s="697"/>
      <c r="K461" s="697"/>
      <c r="L461" s="697"/>
      <c r="M461" s="697"/>
      <c r="N461" s="697"/>
      <c r="O461" s="697"/>
      <c r="P461" s="698"/>
      <c r="Q461" s="361">
        <f>SUM(E461:P461)</f>
        <v>0</v>
      </c>
    </row>
    <row r="462" spans="1:17" s="752" customFormat="1" ht="14.25" customHeight="1" hidden="1">
      <c r="A462" s="2033"/>
      <c r="B462" s="2036"/>
      <c r="C462" s="2043"/>
      <c r="D462" s="1268" t="s">
        <v>839</v>
      </c>
      <c r="E462" s="696"/>
      <c r="F462" s="697"/>
      <c r="G462" s="698"/>
      <c r="H462" s="696"/>
      <c r="I462" s="697"/>
      <c r="J462" s="697"/>
      <c r="K462" s="697"/>
      <c r="L462" s="697"/>
      <c r="M462" s="697"/>
      <c r="N462" s="697"/>
      <c r="O462" s="697"/>
      <c r="P462" s="698"/>
      <c r="Q462" s="361">
        <f>SUM(E462:P462)</f>
        <v>0</v>
      </c>
    </row>
    <row r="463" spans="1:17" s="752" customFormat="1" ht="14.25" customHeight="1">
      <c r="A463" s="2033"/>
      <c r="B463" s="2036"/>
      <c r="C463" s="2043"/>
      <c r="D463" s="409" t="s">
        <v>1190</v>
      </c>
      <c r="E463" s="696"/>
      <c r="F463" s="697"/>
      <c r="G463" s="698"/>
      <c r="H463" s="696"/>
      <c r="I463" s="697"/>
      <c r="J463" s="697"/>
      <c r="K463" s="697"/>
      <c r="L463" s="697">
        <v>-3360</v>
      </c>
      <c r="M463" s="697">
        <v>-3800</v>
      </c>
      <c r="N463" s="697"/>
      <c r="O463" s="697"/>
      <c r="P463" s="698"/>
      <c r="Q463" s="361">
        <f>SUM(E463:P463)</f>
        <v>-7160</v>
      </c>
    </row>
    <row r="464" spans="1:17" s="752" customFormat="1" ht="14.25" customHeight="1">
      <c r="A464" s="2033"/>
      <c r="B464" s="2036"/>
      <c r="C464" s="2043"/>
      <c r="D464" s="1268" t="s">
        <v>445</v>
      </c>
      <c r="E464" s="696">
        <v>0</v>
      </c>
      <c r="F464" s="697">
        <v>720</v>
      </c>
      <c r="G464" s="698">
        <v>540</v>
      </c>
      <c r="H464" s="696">
        <v>40</v>
      </c>
      <c r="I464" s="697">
        <v>1775</v>
      </c>
      <c r="J464" s="697">
        <v>540</v>
      </c>
      <c r="K464" s="697">
        <v>4560</v>
      </c>
      <c r="L464" s="697">
        <v>5310</v>
      </c>
      <c r="M464" s="697">
        <v>3800</v>
      </c>
      <c r="N464" s="697">
        <v>8448</v>
      </c>
      <c r="O464" s="697"/>
      <c r="P464" s="698"/>
      <c r="Q464" s="361">
        <f>SUM(E464:P464)</f>
        <v>25733</v>
      </c>
    </row>
    <row r="465" spans="1:17" s="752" customFormat="1" ht="14.25" customHeight="1">
      <c r="A465" s="2033"/>
      <c r="B465" s="2036"/>
      <c r="C465" s="2043"/>
      <c r="D465" s="425" t="s">
        <v>1191</v>
      </c>
      <c r="E465" s="696"/>
      <c r="F465" s="697"/>
      <c r="G465" s="698"/>
      <c r="H465" s="696"/>
      <c r="I465" s="697"/>
      <c r="J465" s="697"/>
      <c r="K465" s="697">
        <v>-4560</v>
      </c>
      <c r="L465" s="697">
        <v>-1950</v>
      </c>
      <c r="M465" s="697"/>
      <c r="N465" s="697">
        <v>-8448</v>
      </c>
      <c r="O465" s="697"/>
      <c r="P465" s="697"/>
      <c r="Q465" s="361">
        <f>SUM(E465:P465)</f>
        <v>-14958</v>
      </c>
    </row>
    <row r="466" spans="1:17" s="752" customFormat="1" ht="14.25" customHeight="1">
      <c r="A466" s="2033"/>
      <c r="B466" s="2036"/>
      <c r="C466" s="2043"/>
      <c r="D466" s="1268" t="s">
        <v>1154</v>
      </c>
      <c r="E466" s="696"/>
      <c r="F466" s="697"/>
      <c r="G466" s="698"/>
      <c r="H466" s="696"/>
      <c r="I466" s="697"/>
      <c r="J466" s="697"/>
      <c r="K466" s="697"/>
      <c r="L466" s="697"/>
      <c r="M466" s="697"/>
      <c r="N466" s="697"/>
      <c r="O466" s="697"/>
      <c r="P466" s="697"/>
      <c r="Q466" s="361">
        <f>SUM(E466:P466)</f>
        <v>0</v>
      </c>
    </row>
    <row r="467" spans="1:18" s="752" customFormat="1" ht="15" customHeight="1" thickBot="1">
      <c r="A467" s="2034"/>
      <c r="B467" s="2036"/>
      <c r="C467" s="2044"/>
      <c r="D467" s="423" t="s">
        <v>446</v>
      </c>
      <c r="E467" s="430">
        <f>SUM(E461:E466)</f>
        <v>0</v>
      </c>
      <c r="F467" s="430">
        <f>SUM(F461:F466)</f>
        <v>720</v>
      </c>
      <c r="G467" s="686">
        <f>SUM(G461:G466)</f>
        <v>540</v>
      </c>
      <c r="H467" s="430">
        <f aca="true" t="shared" si="82" ref="H467:P467">SUM(H461:H466)</f>
        <v>40</v>
      </c>
      <c r="I467" s="430">
        <f>SUM(I461:I466)</f>
        <v>1775</v>
      </c>
      <c r="J467" s="430">
        <f t="shared" si="82"/>
        <v>540</v>
      </c>
      <c r="K467" s="430">
        <f t="shared" si="82"/>
        <v>0</v>
      </c>
      <c r="L467" s="430">
        <f>SUM(L461:L466)</f>
        <v>0</v>
      </c>
      <c r="M467" s="430">
        <f t="shared" si="82"/>
        <v>0</v>
      </c>
      <c r="N467" s="430">
        <f t="shared" si="82"/>
        <v>0</v>
      </c>
      <c r="O467" s="430">
        <f t="shared" si="82"/>
        <v>0</v>
      </c>
      <c r="P467" s="687">
        <f t="shared" si="82"/>
        <v>0</v>
      </c>
      <c r="Q467" s="431">
        <f>SUM(Q461:Q466)</f>
        <v>3615</v>
      </c>
      <c r="R467" s="753">
        <f>Q456+Q460+Q467</f>
        <v>0</v>
      </c>
    </row>
    <row r="468" spans="1:17" s="751" customFormat="1" ht="6.75" customHeight="1" thickBot="1">
      <c r="A468" s="689"/>
      <c r="B468" s="448"/>
      <c r="C468" s="690"/>
      <c r="D468" s="711"/>
      <c r="E468" s="712"/>
      <c r="F468" s="690"/>
      <c r="G468" s="704"/>
      <c r="H468" s="705"/>
      <c r="I468" s="690"/>
      <c r="J468" s="690"/>
      <c r="K468" s="690"/>
      <c r="L468" s="690"/>
      <c r="M468" s="690"/>
      <c r="N468" s="690"/>
      <c r="O468" s="690"/>
      <c r="P468" s="704"/>
      <c r="Q468" s="1004"/>
    </row>
    <row r="469" spans="1:17" s="752" customFormat="1" ht="14.25" customHeight="1">
      <c r="A469" s="2045">
        <v>22</v>
      </c>
      <c r="B469" s="2048" t="s">
        <v>1159</v>
      </c>
      <c r="C469" s="2051" t="s">
        <v>435</v>
      </c>
      <c r="D469" s="415" t="s">
        <v>436</v>
      </c>
      <c r="E469" s="707"/>
      <c r="F469" s="708"/>
      <c r="G469" s="709"/>
      <c r="H469" s="707"/>
      <c r="I469" s="708">
        <v>-1</v>
      </c>
      <c r="J469" s="708">
        <v>-180</v>
      </c>
      <c r="K469" s="708"/>
      <c r="L469" s="708">
        <v>-787</v>
      </c>
      <c r="M469" s="708">
        <v>-1297</v>
      </c>
      <c r="N469" s="708">
        <v>-953</v>
      </c>
      <c r="O469" s="708">
        <v>-245</v>
      </c>
      <c r="P469" s="709">
        <v>-1055</v>
      </c>
      <c r="Q469" s="404">
        <f>SUM(E469:P469)</f>
        <v>-4518</v>
      </c>
    </row>
    <row r="470" spans="1:17" s="752" customFormat="1" ht="14.25" customHeight="1">
      <c r="A470" s="2046"/>
      <c r="B470" s="2049"/>
      <c r="C470" s="2052"/>
      <c r="D470" s="426" t="s">
        <v>825</v>
      </c>
      <c r="E470" s="696"/>
      <c r="F470" s="697"/>
      <c r="G470" s="698"/>
      <c r="H470" s="696"/>
      <c r="I470" s="697">
        <v>-1</v>
      </c>
      <c r="J470" s="697">
        <v>0</v>
      </c>
      <c r="K470" s="697"/>
      <c r="L470" s="697">
        <v>0</v>
      </c>
      <c r="M470" s="697">
        <v>0</v>
      </c>
      <c r="N470" s="697">
        <v>0</v>
      </c>
      <c r="O470" s="697">
        <v>0</v>
      </c>
      <c r="P470" s="698">
        <v>0</v>
      </c>
      <c r="Q470" s="412">
        <f>SUM(E470:P470)</f>
        <v>-1</v>
      </c>
    </row>
    <row r="471" spans="1:17" s="752" customFormat="1" ht="14.25" customHeight="1">
      <c r="A471" s="2046"/>
      <c r="B471" s="2049"/>
      <c r="C471" s="2052"/>
      <c r="D471" s="426" t="s">
        <v>437</v>
      </c>
      <c r="E471" s="696"/>
      <c r="F471" s="697"/>
      <c r="G471" s="698"/>
      <c r="H471" s="696"/>
      <c r="I471" s="697">
        <v>-1</v>
      </c>
      <c r="J471" s="697">
        <v>0</v>
      </c>
      <c r="K471" s="697"/>
      <c r="L471" s="697">
        <v>0</v>
      </c>
      <c r="M471" s="697">
        <v>-160</v>
      </c>
      <c r="N471" s="697">
        <v>-460</v>
      </c>
      <c r="O471" s="697">
        <v>-160</v>
      </c>
      <c r="P471" s="698">
        <v>0</v>
      </c>
      <c r="Q471" s="412">
        <f>SUM(E471:P471)</f>
        <v>-781</v>
      </c>
    </row>
    <row r="472" spans="1:17" s="752" customFormat="1" ht="14.25" customHeight="1">
      <c r="A472" s="2046"/>
      <c r="B472" s="2049"/>
      <c r="C472" s="2052"/>
      <c r="D472" s="410" t="s">
        <v>438</v>
      </c>
      <c r="E472" s="411">
        <f>SUM(E469:E471)</f>
        <v>0</v>
      </c>
      <c r="F472" s="368">
        <f>SUM(F469:F471)</f>
        <v>0</v>
      </c>
      <c r="G472" s="700">
        <f>SUM(G469:G471)</f>
        <v>0</v>
      </c>
      <c r="H472" s="411">
        <f>SUM(H469:H471)</f>
        <v>0</v>
      </c>
      <c r="I472" s="368">
        <f>SUM(I469:I471)</f>
        <v>-3</v>
      </c>
      <c r="J472" s="368">
        <f>SUM(J469:J471)</f>
        <v>-180</v>
      </c>
      <c r="K472" s="368">
        <f aca="true" t="shared" si="83" ref="K472:P472">SUM(K469:K471)</f>
        <v>0</v>
      </c>
      <c r="L472" s="368">
        <f t="shared" si="83"/>
        <v>-787</v>
      </c>
      <c r="M472" s="368">
        <f t="shared" si="83"/>
        <v>-1457</v>
      </c>
      <c r="N472" s="368">
        <f t="shared" si="83"/>
        <v>-1413</v>
      </c>
      <c r="O472" s="368">
        <f t="shared" si="83"/>
        <v>-405</v>
      </c>
      <c r="P472" s="700">
        <f t="shared" si="83"/>
        <v>-1055</v>
      </c>
      <c r="Q472" s="418">
        <f>SUM(Q469:Q471)</f>
        <v>-5300</v>
      </c>
    </row>
    <row r="473" spans="1:17" s="752" customFormat="1" ht="14.25" customHeight="1">
      <c r="A473" s="2046"/>
      <c r="B473" s="2049"/>
      <c r="C473" s="2052"/>
      <c r="D473" s="426" t="s">
        <v>439</v>
      </c>
      <c r="E473" s="696"/>
      <c r="F473" s="697"/>
      <c r="G473" s="698"/>
      <c r="H473" s="696"/>
      <c r="I473" s="697">
        <v>1</v>
      </c>
      <c r="J473" s="697">
        <v>0</v>
      </c>
      <c r="K473" s="697"/>
      <c r="L473" s="697">
        <v>0</v>
      </c>
      <c r="M473" s="697">
        <v>160</v>
      </c>
      <c r="N473" s="697">
        <v>460</v>
      </c>
      <c r="O473" s="697">
        <v>160</v>
      </c>
      <c r="P473" s="698">
        <v>0</v>
      </c>
      <c r="Q473" s="412">
        <f>SUM(E473:P473)</f>
        <v>781</v>
      </c>
    </row>
    <row r="474" spans="1:17" s="752" customFormat="1" ht="14.25" customHeight="1">
      <c r="A474" s="2046"/>
      <c r="B474" s="2049"/>
      <c r="C474" s="2052"/>
      <c r="D474" s="426" t="s">
        <v>826</v>
      </c>
      <c r="E474" s="696"/>
      <c r="F474" s="697"/>
      <c r="G474" s="698"/>
      <c r="H474" s="696"/>
      <c r="I474" s="697">
        <v>1</v>
      </c>
      <c r="J474" s="697">
        <v>0</v>
      </c>
      <c r="K474" s="697"/>
      <c r="L474" s="697">
        <v>0</v>
      </c>
      <c r="M474" s="697">
        <v>0</v>
      </c>
      <c r="N474" s="697">
        <v>0</v>
      </c>
      <c r="O474" s="697">
        <v>0</v>
      </c>
      <c r="P474" s="698">
        <v>0</v>
      </c>
      <c r="Q474" s="412">
        <f>SUM(E474:P474)</f>
        <v>1</v>
      </c>
    </row>
    <row r="475" spans="1:17" s="752" customFormat="1" ht="14.25" customHeight="1">
      <c r="A475" s="2046"/>
      <c r="B475" s="2049"/>
      <c r="C475" s="2052"/>
      <c r="D475" s="426" t="s">
        <v>440</v>
      </c>
      <c r="E475" s="696"/>
      <c r="F475" s="697"/>
      <c r="G475" s="698"/>
      <c r="H475" s="696"/>
      <c r="I475" s="697">
        <v>1</v>
      </c>
      <c r="J475" s="697">
        <v>180</v>
      </c>
      <c r="K475" s="697"/>
      <c r="L475" s="697">
        <v>787</v>
      </c>
      <c r="M475" s="697">
        <v>1297</v>
      </c>
      <c r="N475" s="697">
        <v>953</v>
      </c>
      <c r="O475" s="697">
        <v>245</v>
      </c>
      <c r="P475" s="698">
        <v>1055</v>
      </c>
      <c r="Q475" s="412">
        <f>SUM(E475:P475)</f>
        <v>4518</v>
      </c>
    </row>
    <row r="476" spans="1:17" s="752" customFormat="1" ht="14.25" customHeight="1">
      <c r="A476" s="2046"/>
      <c r="B476" s="2049"/>
      <c r="C476" s="2053"/>
      <c r="D476" s="410" t="s">
        <v>441</v>
      </c>
      <c r="E476" s="369">
        <f>SUM(E473:E475)</f>
        <v>0</v>
      </c>
      <c r="F476" s="365">
        <f>SUM(F473:F475)</f>
        <v>0</v>
      </c>
      <c r="G476" s="710">
        <f>SUM(G473:G475)</f>
        <v>0</v>
      </c>
      <c r="H476" s="369">
        <f>SUM(H473:H475)</f>
        <v>0</v>
      </c>
      <c r="I476" s="365">
        <f>SUM(I473:I475)</f>
        <v>3</v>
      </c>
      <c r="J476" s="365">
        <f>SUM(J473:J475)</f>
        <v>180</v>
      </c>
      <c r="K476" s="365">
        <f aca="true" t="shared" si="84" ref="K476:P476">SUM(K473:K475)</f>
        <v>0</v>
      </c>
      <c r="L476" s="365">
        <f t="shared" si="84"/>
        <v>787</v>
      </c>
      <c r="M476" s="365">
        <f t="shared" si="84"/>
        <v>1457</v>
      </c>
      <c r="N476" s="365">
        <f t="shared" si="84"/>
        <v>1413</v>
      </c>
      <c r="O476" s="365">
        <f t="shared" si="84"/>
        <v>405</v>
      </c>
      <c r="P476" s="710">
        <f t="shared" si="84"/>
        <v>1055</v>
      </c>
      <c r="Q476" s="366">
        <f>SUM(Q473:Q475)</f>
        <v>5300</v>
      </c>
    </row>
    <row r="477" spans="1:17" s="752" customFormat="1" ht="14.25" customHeight="1" hidden="1">
      <c r="A477" s="2046"/>
      <c r="B477" s="2049"/>
      <c r="C477" s="2054" t="s">
        <v>444</v>
      </c>
      <c r="D477" s="1269" t="s">
        <v>838</v>
      </c>
      <c r="E477" s="696"/>
      <c r="F477" s="697"/>
      <c r="G477" s="698"/>
      <c r="H477" s="696"/>
      <c r="I477" s="697"/>
      <c r="J477" s="697"/>
      <c r="K477" s="697"/>
      <c r="L477" s="697"/>
      <c r="M477" s="697"/>
      <c r="N477" s="697"/>
      <c r="O477" s="697"/>
      <c r="P477" s="698"/>
      <c r="Q477" s="361">
        <f>SUM(E477:P477)</f>
        <v>0</v>
      </c>
    </row>
    <row r="478" spans="1:17" s="752" customFormat="1" ht="14.25" customHeight="1" hidden="1">
      <c r="A478" s="2046"/>
      <c r="B478" s="2049"/>
      <c r="C478" s="2055"/>
      <c r="D478" s="1270" t="s">
        <v>839</v>
      </c>
      <c r="E478" s="696"/>
      <c r="F478" s="697"/>
      <c r="G478" s="698"/>
      <c r="H478" s="696"/>
      <c r="I478" s="697"/>
      <c r="J478" s="697"/>
      <c r="K478" s="697"/>
      <c r="L478" s="697"/>
      <c r="M478" s="697"/>
      <c r="N478" s="697"/>
      <c r="O478" s="697"/>
      <c r="P478" s="698"/>
      <c r="Q478" s="361">
        <f>SUM(E478:P478)</f>
        <v>0</v>
      </c>
    </row>
    <row r="479" spans="1:17" s="752" customFormat="1" ht="14.25" customHeight="1" hidden="1">
      <c r="A479" s="2046"/>
      <c r="B479" s="2049"/>
      <c r="C479" s="2055"/>
      <c r="D479" s="1270" t="s">
        <v>733</v>
      </c>
      <c r="E479" s="696"/>
      <c r="F479" s="697"/>
      <c r="G479" s="698"/>
      <c r="H479" s="696"/>
      <c r="I479" s="697"/>
      <c r="J479" s="697"/>
      <c r="K479" s="697"/>
      <c r="L479" s="697"/>
      <c r="M479" s="697"/>
      <c r="N479" s="697"/>
      <c r="O479" s="697"/>
      <c r="P479" s="698"/>
      <c r="Q479" s="361">
        <f>SUM(E479:P479)</f>
        <v>0</v>
      </c>
    </row>
    <row r="480" spans="1:17" s="752" customFormat="1" ht="14.25" customHeight="1">
      <c r="A480" s="2046"/>
      <c r="B480" s="2049"/>
      <c r="C480" s="2055"/>
      <c r="D480" s="1270" t="s">
        <v>445</v>
      </c>
      <c r="E480" s="697"/>
      <c r="F480" s="697"/>
      <c r="G480" s="698"/>
      <c r="H480" s="696"/>
      <c r="I480" s="697"/>
      <c r="J480" s="697"/>
      <c r="K480" s="697"/>
      <c r="L480" s="697"/>
      <c r="M480" s="697"/>
      <c r="N480" s="697"/>
      <c r="O480" s="697"/>
      <c r="P480" s="698"/>
      <c r="Q480" s="361">
        <f>SUM(E480:P480)</f>
        <v>0</v>
      </c>
    </row>
    <row r="481" spans="1:17" s="752" customFormat="1" ht="14.25" customHeight="1">
      <c r="A481" s="2046"/>
      <c r="B481" s="2049"/>
      <c r="C481" s="2055"/>
      <c r="D481" s="1270" t="s">
        <v>1192</v>
      </c>
      <c r="E481" s="696"/>
      <c r="F481" s="697"/>
      <c r="G481" s="698"/>
      <c r="H481" s="696"/>
      <c r="I481" s="697"/>
      <c r="J481" s="697"/>
      <c r="K481" s="697"/>
      <c r="L481" s="697"/>
      <c r="M481" s="697"/>
      <c r="N481" s="697"/>
      <c r="O481" s="697"/>
      <c r="P481" s="697"/>
      <c r="Q481" s="361">
        <f>SUM(E481:P481)</f>
        <v>0</v>
      </c>
    </row>
    <row r="482" spans="1:17" s="752" customFormat="1" ht="14.25" customHeight="1" hidden="1">
      <c r="A482" s="2046"/>
      <c r="B482" s="2049"/>
      <c r="C482" s="2055"/>
      <c r="D482" s="1270" t="s">
        <v>1154</v>
      </c>
      <c r="E482" s="696"/>
      <c r="F482" s="697"/>
      <c r="G482" s="698"/>
      <c r="H482" s="696"/>
      <c r="I482" s="697"/>
      <c r="J482" s="697"/>
      <c r="K482" s="697"/>
      <c r="L482" s="697"/>
      <c r="M482" s="697"/>
      <c r="N482" s="697"/>
      <c r="O482" s="697"/>
      <c r="P482" s="697"/>
      <c r="Q482" s="361">
        <f>SUM(E482:P482)</f>
        <v>0</v>
      </c>
    </row>
    <row r="483" spans="1:18" s="752" customFormat="1" ht="15" customHeight="1" thickBot="1">
      <c r="A483" s="2047"/>
      <c r="B483" s="2050"/>
      <c r="C483" s="2056"/>
      <c r="D483" s="1271" t="s">
        <v>446</v>
      </c>
      <c r="E483" s="430">
        <f>SUM(E477:E482)</f>
        <v>0</v>
      </c>
      <c r="F483" s="430">
        <f>SUM(F477:F482)</f>
        <v>0</v>
      </c>
      <c r="G483" s="686">
        <f>SUM(G477:G482)</f>
        <v>0</v>
      </c>
      <c r="H483" s="430">
        <f aca="true" t="shared" si="85" ref="H483:P483">SUM(H477:H482)</f>
        <v>0</v>
      </c>
      <c r="I483" s="430">
        <f t="shared" si="85"/>
        <v>0</v>
      </c>
      <c r="J483" s="430">
        <f t="shared" si="85"/>
        <v>0</v>
      </c>
      <c r="K483" s="430">
        <f t="shared" si="85"/>
        <v>0</v>
      </c>
      <c r="L483" s="430">
        <f t="shared" si="85"/>
        <v>0</v>
      </c>
      <c r="M483" s="430">
        <f>SUM(M477:M482)</f>
        <v>0</v>
      </c>
      <c r="N483" s="430">
        <f t="shared" si="85"/>
        <v>0</v>
      </c>
      <c r="O483" s="430">
        <f>SUM(O477:O482)</f>
        <v>0</v>
      </c>
      <c r="P483" s="687">
        <f t="shared" si="85"/>
        <v>0</v>
      </c>
      <c r="Q483" s="431">
        <f>SUM(Q477:Q482)</f>
        <v>0</v>
      </c>
      <c r="R483" s="753">
        <f>Q472+Q476+Q483</f>
        <v>0</v>
      </c>
    </row>
    <row r="484" spans="1:17" s="751" customFormat="1" ht="6.75" customHeight="1" thickBot="1">
      <c r="A484" s="689"/>
      <c r="B484" s="448"/>
      <c r="C484" s="690"/>
      <c r="D484" s="711"/>
      <c r="E484" s="712"/>
      <c r="F484" s="690"/>
      <c r="G484" s="704"/>
      <c r="H484" s="705"/>
      <c r="I484" s="690"/>
      <c r="J484" s="690"/>
      <c r="K484" s="690"/>
      <c r="L484" s="690"/>
      <c r="M484" s="690"/>
      <c r="N484" s="690"/>
      <c r="O484" s="690"/>
      <c r="P484" s="704"/>
      <c r="Q484" s="706"/>
    </row>
    <row r="485" spans="1:17" s="750" customFormat="1" ht="15" customHeight="1">
      <c r="A485" s="2057">
        <v>23</v>
      </c>
      <c r="B485" s="2035" t="s">
        <v>1324</v>
      </c>
      <c r="C485" s="2028" t="s">
        <v>435</v>
      </c>
      <c r="D485" s="415" t="s">
        <v>436</v>
      </c>
      <c r="E485" s="435"/>
      <c r="F485" s="435"/>
      <c r="G485" s="435"/>
      <c r="H485" s="435"/>
      <c r="I485" s="435"/>
      <c r="J485" s="435"/>
      <c r="K485" s="435"/>
      <c r="L485" s="1005">
        <v>0</v>
      </c>
      <c r="M485" s="388">
        <v>0</v>
      </c>
      <c r="N485" s="436">
        <v>0</v>
      </c>
      <c r="O485" s="436">
        <v>0</v>
      </c>
      <c r="P485" s="560">
        <v>0</v>
      </c>
      <c r="Q485" s="390">
        <f>SUM(E485:P485)</f>
        <v>0</v>
      </c>
    </row>
    <row r="486" spans="1:17" s="750" customFormat="1" ht="15" customHeight="1">
      <c r="A486" s="2058"/>
      <c r="B486" s="2036"/>
      <c r="C486" s="2029"/>
      <c r="D486" s="426" t="s">
        <v>825</v>
      </c>
      <c r="E486" s="438"/>
      <c r="F486" s="438"/>
      <c r="G486" s="438"/>
      <c r="H486" s="438"/>
      <c r="I486" s="438"/>
      <c r="J486" s="438"/>
      <c r="K486" s="438"/>
      <c r="L486" s="530">
        <v>-217</v>
      </c>
      <c r="M486" s="358">
        <v>-535</v>
      </c>
      <c r="N486" s="362">
        <v>-1777</v>
      </c>
      <c r="O486" s="362">
        <v>-2621</v>
      </c>
      <c r="P486" s="554">
        <v>-729</v>
      </c>
      <c r="Q486" s="359">
        <f>SUM(E486:P486)</f>
        <v>-5879</v>
      </c>
    </row>
    <row r="487" spans="1:17" s="750" customFormat="1" ht="15" customHeight="1">
      <c r="A487" s="2058"/>
      <c r="B487" s="2036"/>
      <c r="C487" s="2029"/>
      <c r="D487" s="426" t="s">
        <v>437</v>
      </c>
      <c r="E487" s="438"/>
      <c r="F487" s="438"/>
      <c r="G487" s="438"/>
      <c r="H487" s="438"/>
      <c r="I487" s="438"/>
      <c r="J487" s="438"/>
      <c r="K487" s="438"/>
      <c r="L487" s="530">
        <v>0</v>
      </c>
      <c r="M487" s="358">
        <v>0</v>
      </c>
      <c r="N487" s="358">
        <v>-6</v>
      </c>
      <c r="O487" s="358">
        <v>0</v>
      </c>
      <c r="P487" s="554">
        <v>0</v>
      </c>
      <c r="Q487" s="361">
        <f>SUM(E487:P487)</f>
        <v>-6</v>
      </c>
    </row>
    <row r="488" spans="1:17" s="750" customFormat="1" ht="15" customHeight="1">
      <c r="A488" s="2058"/>
      <c r="B488" s="2036"/>
      <c r="C488" s="2029"/>
      <c r="D488" s="410" t="s">
        <v>438</v>
      </c>
      <c r="E488" s="368">
        <f aca="true" t="shared" si="86" ref="E488:P488">SUM(E485:E487)</f>
        <v>0</v>
      </c>
      <c r="F488" s="368">
        <f t="shared" si="86"/>
        <v>0</v>
      </c>
      <c r="G488" s="368">
        <f t="shared" si="86"/>
        <v>0</v>
      </c>
      <c r="H488" s="368">
        <f t="shared" si="86"/>
        <v>0</v>
      </c>
      <c r="I488" s="368">
        <f t="shared" si="86"/>
        <v>0</v>
      </c>
      <c r="J488" s="368">
        <f t="shared" si="86"/>
        <v>0</v>
      </c>
      <c r="K488" s="368">
        <f t="shared" si="86"/>
        <v>0</v>
      </c>
      <c r="L488" s="368">
        <f t="shared" si="86"/>
        <v>-217</v>
      </c>
      <c r="M488" s="368">
        <f t="shared" si="86"/>
        <v>-535</v>
      </c>
      <c r="N488" s="365">
        <f t="shared" si="86"/>
        <v>-1783</v>
      </c>
      <c r="O488" s="365">
        <f t="shared" si="86"/>
        <v>-2621</v>
      </c>
      <c r="P488" s="561">
        <f t="shared" si="86"/>
        <v>-729</v>
      </c>
      <c r="Q488" s="366">
        <f>SUM(Q485:Q487)</f>
        <v>-5885</v>
      </c>
    </row>
    <row r="489" spans="1:17" s="750" customFormat="1" ht="15" customHeight="1">
      <c r="A489" s="2058"/>
      <c r="B489" s="2036"/>
      <c r="C489" s="2029"/>
      <c r="D489" s="426" t="s">
        <v>439</v>
      </c>
      <c r="E489" s="438"/>
      <c r="F489" s="438"/>
      <c r="G489" s="438"/>
      <c r="H489" s="442"/>
      <c r="I489" s="442"/>
      <c r="J489" s="442"/>
      <c r="K489" s="442"/>
      <c r="L489" s="1006">
        <v>0</v>
      </c>
      <c r="M489" s="442">
        <v>1709</v>
      </c>
      <c r="N489" s="358">
        <v>1277</v>
      </c>
      <c r="O489" s="358">
        <v>2489</v>
      </c>
      <c r="P489" s="554">
        <v>686</v>
      </c>
      <c r="Q489" s="361">
        <f>SUM(E489:P489)</f>
        <v>6161</v>
      </c>
    </row>
    <row r="490" spans="1:17" s="750" customFormat="1" ht="15" customHeight="1">
      <c r="A490" s="2058"/>
      <c r="B490" s="2036"/>
      <c r="C490" s="2029"/>
      <c r="D490" s="426" t="s">
        <v>826</v>
      </c>
      <c r="E490" s="438"/>
      <c r="F490" s="438"/>
      <c r="G490" s="438"/>
      <c r="H490" s="438"/>
      <c r="I490" s="438"/>
      <c r="J490" s="438"/>
      <c r="K490" s="438"/>
      <c r="L490" s="530">
        <v>0</v>
      </c>
      <c r="M490" s="438">
        <v>1615</v>
      </c>
      <c r="N490" s="358">
        <v>6</v>
      </c>
      <c r="O490" s="358">
        <v>0</v>
      </c>
      <c r="P490" s="554">
        <v>0</v>
      </c>
      <c r="Q490" s="361">
        <f>SUM(E490:P490)</f>
        <v>1621</v>
      </c>
    </row>
    <row r="491" spans="1:17" s="750" customFormat="1" ht="15" customHeight="1">
      <c r="A491" s="2058"/>
      <c r="B491" s="2036"/>
      <c r="C491" s="2029"/>
      <c r="D491" s="426" t="s">
        <v>440</v>
      </c>
      <c r="E491" s="438"/>
      <c r="F491" s="438"/>
      <c r="G491" s="438"/>
      <c r="H491" s="438"/>
      <c r="I491" s="438"/>
      <c r="J491" s="438"/>
      <c r="K491" s="438"/>
      <c r="L491" s="530">
        <v>217</v>
      </c>
      <c r="M491" s="438">
        <v>36</v>
      </c>
      <c r="N491" s="358">
        <v>0</v>
      </c>
      <c r="O491" s="358">
        <v>2</v>
      </c>
      <c r="P491" s="554">
        <v>0</v>
      </c>
      <c r="Q491" s="361">
        <f>SUM(E491:P491)</f>
        <v>255</v>
      </c>
    </row>
    <row r="492" spans="1:17" s="750" customFormat="1" ht="15" customHeight="1">
      <c r="A492" s="2058"/>
      <c r="B492" s="2036"/>
      <c r="C492" s="2030"/>
      <c r="D492" s="410" t="s">
        <v>441</v>
      </c>
      <c r="E492" s="449">
        <f aca="true" t="shared" si="87" ref="E492:P492">SUM(E489:E491)</f>
        <v>0</v>
      </c>
      <c r="F492" s="449">
        <f t="shared" si="87"/>
        <v>0</v>
      </c>
      <c r="G492" s="449">
        <f t="shared" si="87"/>
        <v>0</v>
      </c>
      <c r="H492" s="449">
        <f t="shared" si="87"/>
        <v>0</v>
      </c>
      <c r="I492" s="449">
        <f t="shared" si="87"/>
        <v>0</v>
      </c>
      <c r="J492" s="368">
        <f t="shared" si="87"/>
        <v>0</v>
      </c>
      <c r="K492" s="368">
        <f t="shared" si="87"/>
        <v>0</v>
      </c>
      <c r="L492" s="368">
        <f t="shared" si="87"/>
        <v>217</v>
      </c>
      <c r="M492" s="365">
        <f t="shared" si="87"/>
        <v>3360</v>
      </c>
      <c r="N492" s="365">
        <f t="shared" si="87"/>
        <v>1283</v>
      </c>
      <c r="O492" s="365">
        <f t="shared" si="87"/>
        <v>2491</v>
      </c>
      <c r="P492" s="561">
        <f t="shared" si="87"/>
        <v>686</v>
      </c>
      <c r="Q492" s="366">
        <f>SUM(Q489:Q491)</f>
        <v>8037</v>
      </c>
    </row>
    <row r="493" spans="1:17" s="750" customFormat="1" ht="15" customHeight="1">
      <c r="A493" s="2058"/>
      <c r="B493" s="2036"/>
      <c r="C493" s="2029" t="s">
        <v>444</v>
      </c>
      <c r="D493" s="409" t="s">
        <v>451</v>
      </c>
      <c r="E493" s="375"/>
      <c r="F493" s="375"/>
      <c r="G493" s="375"/>
      <c r="H493" s="375"/>
      <c r="I493" s="375"/>
      <c r="J493" s="371"/>
      <c r="K493" s="375"/>
      <c r="L493" s="371"/>
      <c r="M493" s="371">
        <v>7440</v>
      </c>
      <c r="N493" s="371">
        <v>500</v>
      </c>
      <c r="O493" s="371">
        <v>203</v>
      </c>
      <c r="P493" s="556">
        <v>218.2</v>
      </c>
      <c r="Q493" s="361">
        <f>SUM(E493:P493)</f>
        <v>8361.2</v>
      </c>
    </row>
    <row r="494" spans="1:17" s="750" customFormat="1" ht="15" customHeight="1">
      <c r="A494" s="2058"/>
      <c r="B494" s="2036"/>
      <c r="C494" s="2029"/>
      <c r="D494" s="409" t="s">
        <v>835</v>
      </c>
      <c r="E494" s="375"/>
      <c r="F494" s="375"/>
      <c r="G494" s="375"/>
      <c r="H494" s="375"/>
      <c r="I494" s="375"/>
      <c r="J494" s="371"/>
      <c r="K494" s="375"/>
      <c r="L494" s="371"/>
      <c r="M494" s="371">
        <v>91</v>
      </c>
      <c r="N494" s="371"/>
      <c r="O494" s="371"/>
      <c r="P494" s="556"/>
      <c r="Q494" s="361">
        <f>SUM(E494:P494)</f>
        <v>91</v>
      </c>
    </row>
    <row r="495" spans="1:17" s="750" customFormat="1" ht="15" customHeight="1">
      <c r="A495" s="2058"/>
      <c r="B495" s="2036"/>
      <c r="C495" s="2029"/>
      <c r="D495" s="409" t="s">
        <v>740</v>
      </c>
      <c r="E495" s="375"/>
      <c r="F495" s="375"/>
      <c r="G495" s="375"/>
      <c r="H495" s="375"/>
      <c r="I495" s="375"/>
      <c r="J495" s="371"/>
      <c r="K495" s="375"/>
      <c r="L495" s="371"/>
      <c r="M495" s="371">
        <v>-10356</v>
      </c>
      <c r="N495" s="371"/>
      <c r="O495" s="371">
        <v>-73</v>
      </c>
      <c r="P495" s="556"/>
      <c r="Q495" s="361">
        <f>SUM(E495:P495)</f>
        <v>-10429</v>
      </c>
    </row>
    <row r="496" spans="1:17" s="750" customFormat="1" ht="15" customHeight="1">
      <c r="A496" s="2058"/>
      <c r="B496" s="2036"/>
      <c r="C496" s="2029"/>
      <c r="D496" s="409" t="s">
        <v>1325</v>
      </c>
      <c r="E496" s="375"/>
      <c r="F496" s="375"/>
      <c r="G496" s="375"/>
      <c r="H496" s="375"/>
      <c r="I496" s="375"/>
      <c r="J496" s="375"/>
      <c r="K496" s="375"/>
      <c r="L496" s="375"/>
      <c r="M496" s="375"/>
      <c r="N496" s="375">
        <v>14</v>
      </c>
      <c r="O496" s="375"/>
      <c r="P496" s="1007"/>
      <c r="Q496" s="361">
        <f>SUM(E496:P496)</f>
        <v>14</v>
      </c>
    </row>
    <row r="497" spans="1:17" s="750" customFormat="1" ht="15" customHeight="1">
      <c r="A497" s="2058"/>
      <c r="B497" s="2036"/>
      <c r="C497" s="2029"/>
      <c r="D497" s="409" t="s">
        <v>1326</v>
      </c>
      <c r="E497" s="375"/>
      <c r="F497" s="375"/>
      <c r="G497" s="375"/>
      <c r="H497" s="375"/>
      <c r="I497" s="375"/>
      <c r="J497" s="375"/>
      <c r="K497" s="375"/>
      <c r="L497" s="375"/>
      <c r="M497" s="375"/>
      <c r="N497" s="375">
        <v>-14</v>
      </c>
      <c r="O497" s="375"/>
      <c r="P497" s="1007">
        <v>-175.2</v>
      </c>
      <c r="Q497" s="361">
        <f>SUM(E497:P497)</f>
        <v>-189.2</v>
      </c>
    </row>
    <row r="498" spans="1:18" s="751" customFormat="1" ht="15" customHeight="1" thickBot="1">
      <c r="A498" s="2059"/>
      <c r="B498" s="2038"/>
      <c r="C498" s="2031"/>
      <c r="D498" s="423" t="s">
        <v>446</v>
      </c>
      <c r="E498" s="430">
        <f>SUM(E493:E497)</f>
        <v>0</v>
      </c>
      <c r="F498" s="430">
        <f>SUM(F493:F497)</f>
        <v>0</v>
      </c>
      <c r="G498" s="430">
        <f aca="true" t="shared" si="88" ref="G498:O498">SUM(G493:G497)</f>
        <v>0</v>
      </c>
      <c r="H498" s="430">
        <f t="shared" si="88"/>
        <v>0</v>
      </c>
      <c r="I498" s="430">
        <f t="shared" si="88"/>
        <v>0</v>
      </c>
      <c r="J498" s="430">
        <f t="shared" si="88"/>
        <v>0</v>
      </c>
      <c r="K498" s="430">
        <f t="shared" si="88"/>
        <v>0</v>
      </c>
      <c r="L498" s="430">
        <f>SUM(L493:L497)</f>
        <v>0</v>
      </c>
      <c r="M498" s="430">
        <f t="shared" si="88"/>
        <v>-2825</v>
      </c>
      <c r="N498" s="430">
        <f t="shared" si="88"/>
        <v>500</v>
      </c>
      <c r="O498" s="686">
        <f t="shared" si="88"/>
        <v>130</v>
      </c>
      <c r="P498" s="1008">
        <f>SUM(P493:P495)</f>
        <v>218.2</v>
      </c>
      <c r="Q498" s="688">
        <f>SUM(Q493:Q497)</f>
        <v>-2151.999999999999</v>
      </c>
      <c r="R498" s="753">
        <f>Q488+Q492+Q498</f>
        <v>0</v>
      </c>
    </row>
    <row r="499" spans="1:17" s="751" customFormat="1" ht="6.75" customHeight="1" thickBot="1">
      <c r="A499" s="689"/>
      <c r="B499" s="448"/>
      <c r="C499" s="690"/>
      <c r="D499" s="711"/>
      <c r="E499" s="712"/>
      <c r="F499" s="690"/>
      <c r="G499" s="704"/>
      <c r="H499" s="705"/>
      <c r="I499" s="690"/>
      <c r="J499" s="690"/>
      <c r="K499" s="690"/>
      <c r="L499" s="690"/>
      <c r="M499" s="690"/>
      <c r="N499" s="690"/>
      <c r="O499" s="686"/>
      <c r="P499" s="706"/>
      <c r="Q499" s="706"/>
    </row>
    <row r="500" spans="1:17" s="750" customFormat="1" ht="15" customHeight="1">
      <c r="A500" s="2057">
        <v>24</v>
      </c>
      <c r="B500" s="2035" t="s">
        <v>1327</v>
      </c>
      <c r="C500" s="2028" t="s">
        <v>435</v>
      </c>
      <c r="D500" s="415" t="s">
        <v>436</v>
      </c>
      <c r="E500" s="435"/>
      <c r="F500" s="435"/>
      <c r="G500" s="435"/>
      <c r="H500" s="435"/>
      <c r="I500" s="435"/>
      <c r="J500" s="435"/>
      <c r="K500" s="435"/>
      <c r="L500" s="435"/>
      <c r="M500" s="388"/>
      <c r="N500" s="436"/>
      <c r="O500" s="435"/>
      <c r="P500" s="388"/>
      <c r="Q500" s="390">
        <f>SUM(E500:P500)</f>
        <v>0</v>
      </c>
    </row>
    <row r="501" spans="1:17" s="750" customFormat="1" ht="15" customHeight="1">
      <c r="A501" s="2058"/>
      <c r="B501" s="2036"/>
      <c r="C501" s="2029"/>
      <c r="D501" s="426" t="s">
        <v>825</v>
      </c>
      <c r="E501" s="438"/>
      <c r="F501" s="438"/>
      <c r="G501" s="438"/>
      <c r="H501" s="438"/>
      <c r="I501" s="438"/>
      <c r="J501" s="438"/>
      <c r="K501" s="438"/>
      <c r="L501" s="438"/>
      <c r="M501" s="358"/>
      <c r="N501" s="362"/>
      <c r="O501" s="362"/>
      <c r="P501" s="554"/>
      <c r="Q501" s="359">
        <f>SUM(E501:P501)</f>
        <v>0</v>
      </c>
    </row>
    <row r="502" spans="1:17" s="750" customFormat="1" ht="15" customHeight="1">
      <c r="A502" s="2058"/>
      <c r="B502" s="2036"/>
      <c r="C502" s="2029"/>
      <c r="D502" s="426" t="s">
        <v>437</v>
      </c>
      <c r="E502" s="438"/>
      <c r="F502" s="438"/>
      <c r="G502" s="438"/>
      <c r="H502" s="438"/>
      <c r="I502" s="438"/>
      <c r="J502" s="438"/>
      <c r="K502" s="438"/>
      <c r="L502" s="438"/>
      <c r="M502" s="358"/>
      <c r="N502" s="358"/>
      <c r="O502" s="358"/>
      <c r="P502" s="554"/>
      <c r="Q502" s="361">
        <f>SUM(E502:P502)</f>
        <v>0</v>
      </c>
    </row>
    <row r="503" spans="1:17" s="750" customFormat="1" ht="15" customHeight="1">
      <c r="A503" s="2058"/>
      <c r="B503" s="2036"/>
      <c r="C503" s="2029"/>
      <c r="D503" s="410" t="s">
        <v>438</v>
      </c>
      <c r="E503" s="368">
        <f aca="true" t="shared" si="89" ref="E503:P503">SUM(E500:E502)</f>
        <v>0</v>
      </c>
      <c r="F503" s="368">
        <f t="shared" si="89"/>
        <v>0</v>
      </c>
      <c r="G503" s="368">
        <f t="shared" si="89"/>
        <v>0</v>
      </c>
      <c r="H503" s="368">
        <f t="shared" si="89"/>
        <v>0</v>
      </c>
      <c r="I503" s="368">
        <f t="shared" si="89"/>
        <v>0</v>
      </c>
      <c r="J503" s="368">
        <f t="shared" si="89"/>
        <v>0</v>
      </c>
      <c r="K503" s="368">
        <f t="shared" si="89"/>
        <v>0</v>
      </c>
      <c r="L503" s="368">
        <f t="shared" si="89"/>
        <v>0</v>
      </c>
      <c r="M503" s="368">
        <f t="shared" si="89"/>
        <v>0</v>
      </c>
      <c r="N503" s="365">
        <f t="shared" si="89"/>
        <v>0</v>
      </c>
      <c r="O503" s="365">
        <f t="shared" si="89"/>
        <v>0</v>
      </c>
      <c r="P503" s="561">
        <f t="shared" si="89"/>
        <v>0</v>
      </c>
      <c r="Q503" s="366">
        <f>SUM(Q500:Q502)</f>
        <v>0</v>
      </c>
    </row>
    <row r="504" spans="1:17" s="750" customFormat="1" ht="15" customHeight="1">
      <c r="A504" s="2058"/>
      <c r="B504" s="2036"/>
      <c r="C504" s="2029"/>
      <c r="D504" s="426" t="s">
        <v>439</v>
      </c>
      <c r="E504" s="438"/>
      <c r="F504" s="438"/>
      <c r="G504" s="438"/>
      <c r="H504" s="442"/>
      <c r="I504" s="442"/>
      <c r="J504" s="442"/>
      <c r="K504" s="442"/>
      <c r="L504" s="442"/>
      <c r="M504" s="442"/>
      <c r="N504" s="358"/>
      <c r="O504" s="358"/>
      <c r="P504" s="554"/>
      <c r="Q504" s="361">
        <f>SUM(E504:P504)</f>
        <v>0</v>
      </c>
    </row>
    <row r="505" spans="1:17" s="750" customFormat="1" ht="15" customHeight="1">
      <c r="A505" s="2058"/>
      <c r="B505" s="2036"/>
      <c r="C505" s="2029"/>
      <c r="D505" s="426" t="s">
        <v>826</v>
      </c>
      <c r="E505" s="438"/>
      <c r="F505" s="438"/>
      <c r="G505" s="438"/>
      <c r="H505" s="438"/>
      <c r="I505" s="438"/>
      <c r="J505" s="438"/>
      <c r="K505" s="438"/>
      <c r="L505" s="438"/>
      <c r="M505" s="438"/>
      <c r="N505" s="358"/>
      <c r="O505" s="358"/>
      <c r="P505" s="554"/>
      <c r="Q505" s="361">
        <f>SUM(E505:P505)</f>
        <v>0</v>
      </c>
    </row>
    <row r="506" spans="1:17" s="750" customFormat="1" ht="15" customHeight="1">
      <c r="A506" s="2058"/>
      <c r="B506" s="2036"/>
      <c r="C506" s="2029"/>
      <c r="D506" s="426" t="s">
        <v>440</v>
      </c>
      <c r="E506" s="438"/>
      <c r="F506" s="438"/>
      <c r="G506" s="438"/>
      <c r="H506" s="438"/>
      <c r="I506" s="438"/>
      <c r="J506" s="438"/>
      <c r="K506" s="438"/>
      <c r="L506" s="438"/>
      <c r="M506" s="438"/>
      <c r="N506" s="358"/>
      <c r="O506" s="358"/>
      <c r="P506" s="554"/>
      <c r="Q506" s="361">
        <f>SUM(E506:P506)</f>
        <v>0</v>
      </c>
    </row>
    <row r="507" spans="1:17" s="750" customFormat="1" ht="15" customHeight="1">
      <c r="A507" s="2058"/>
      <c r="B507" s="2036"/>
      <c r="C507" s="2030"/>
      <c r="D507" s="410" t="s">
        <v>441</v>
      </c>
      <c r="E507" s="449">
        <f aca="true" t="shared" si="90" ref="E507:P507">SUM(E504:E506)</f>
        <v>0</v>
      </c>
      <c r="F507" s="449">
        <f t="shared" si="90"/>
        <v>0</v>
      </c>
      <c r="G507" s="449">
        <f t="shared" si="90"/>
        <v>0</v>
      </c>
      <c r="H507" s="449">
        <f t="shared" si="90"/>
        <v>0</v>
      </c>
      <c r="I507" s="449">
        <f t="shared" si="90"/>
        <v>0</v>
      </c>
      <c r="J507" s="368">
        <f t="shared" si="90"/>
        <v>0</v>
      </c>
      <c r="K507" s="368">
        <f t="shared" si="90"/>
        <v>0</v>
      </c>
      <c r="L507" s="368">
        <f t="shared" si="90"/>
        <v>0</v>
      </c>
      <c r="M507" s="365">
        <f t="shared" si="90"/>
        <v>0</v>
      </c>
      <c r="N507" s="365">
        <f t="shared" si="90"/>
        <v>0</v>
      </c>
      <c r="O507" s="365">
        <f t="shared" si="90"/>
        <v>0</v>
      </c>
      <c r="P507" s="561">
        <f t="shared" si="90"/>
        <v>0</v>
      </c>
      <c r="Q507" s="366">
        <f>SUM(Q504:Q506)</f>
        <v>0</v>
      </c>
    </row>
    <row r="508" spans="1:17" s="750" customFormat="1" ht="15" customHeight="1">
      <c r="A508" s="2058"/>
      <c r="B508" s="2036"/>
      <c r="C508" s="2029" t="s">
        <v>444</v>
      </c>
      <c r="D508" s="409" t="s">
        <v>442</v>
      </c>
      <c r="E508" s="375"/>
      <c r="F508" s="375"/>
      <c r="G508" s="375"/>
      <c r="H508" s="375"/>
      <c r="I508" s="375"/>
      <c r="J508" s="371"/>
      <c r="K508" s="375"/>
      <c r="L508" s="371"/>
      <c r="M508" s="371"/>
      <c r="N508" s="1009">
        <v>3844.8299999999995</v>
      </c>
      <c r="O508" s="1272">
        <v>4152.4</v>
      </c>
      <c r="P508" s="556">
        <v>9616</v>
      </c>
      <c r="Q508" s="1010">
        <f>SUM(E508:P508)</f>
        <v>17613.23</v>
      </c>
    </row>
    <row r="509" spans="1:17" s="751" customFormat="1" ht="15" customHeight="1">
      <c r="A509" s="2058"/>
      <c r="B509" s="2036"/>
      <c r="C509" s="2029"/>
      <c r="D509" s="363" t="s">
        <v>443</v>
      </c>
      <c r="E509" s="401">
        <f aca="true" t="shared" si="91" ref="E509:P509">SUM(E508)</f>
        <v>0</v>
      </c>
      <c r="F509" s="402">
        <f t="shared" si="91"/>
        <v>0</v>
      </c>
      <c r="G509" s="402">
        <f t="shared" si="91"/>
        <v>0</v>
      </c>
      <c r="H509" s="402">
        <f t="shared" si="91"/>
        <v>0</v>
      </c>
      <c r="I509" s="402">
        <f t="shared" si="91"/>
        <v>0</v>
      </c>
      <c r="J509" s="402">
        <f t="shared" si="91"/>
        <v>0</v>
      </c>
      <c r="K509" s="402">
        <f t="shared" si="91"/>
        <v>0</v>
      </c>
      <c r="L509" s="402">
        <f t="shared" si="91"/>
        <v>0</v>
      </c>
      <c r="M509" s="402">
        <f t="shared" si="91"/>
        <v>0</v>
      </c>
      <c r="N509" s="1011">
        <f t="shared" si="91"/>
        <v>3844.8299999999995</v>
      </c>
      <c r="O509" s="1273">
        <f t="shared" si="91"/>
        <v>4152.4</v>
      </c>
      <c r="P509" s="563">
        <f t="shared" si="91"/>
        <v>9616</v>
      </c>
      <c r="Q509" s="1012">
        <f>SUM(Q508:Q508)</f>
        <v>17613.23</v>
      </c>
    </row>
    <row r="510" spans="1:17" s="750" customFormat="1" ht="15" customHeight="1">
      <c r="A510" s="2058"/>
      <c r="B510" s="2036"/>
      <c r="C510" s="2029"/>
      <c r="D510" s="409" t="s">
        <v>733</v>
      </c>
      <c r="E510" s="375"/>
      <c r="F510" s="375"/>
      <c r="G510" s="375"/>
      <c r="H510" s="375"/>
      <c r="I510" s="375"/>
      <c r="J510" s="371"/>
      <c r="K510" s="375"/>
      <c r="L510" s="371"/>
      <c r="M510" s="371"/>
      <c r="N510" s="1009">
        <v>3844.8299999999995</v>
      </c>
      <c r="O510" s="1272">
        <v>4152.4</v>
      </c>
      <c r="P510" s="556">
        <v>9616</v>
      </c>
      <c r="Q510" s="1010">
        <f>SUM(E510:P510)</f>
        <v>17613.23</v>
      </c>
    </row>
    <row r="511" spans="1:18" s="751" customFormat="1" ht="15" customHeight="1" thickBot="1">
      <c r="A511" s="2059"/>
      <c r="B511" s="2038"/>
      <c r="C511" s="2031"/>
      <c r="D511" s="423" t="s">
        <v>446</v>
      </c>
      <c r="E511" s="430">
        <f aca="true" t="shared" si="92" ref="E511:P511">SUM(E508:E510)</f>
        <v>0</v>
      </c>
      <c r="F511" s="430">
        <f t="shared" si="92"/>
        <v>0</v>
      </c>
      <c r="G511" s="686">
        <f t="shared" si="92"/>
        <v>0</v>
      </c>
      <c r="H511" s="430">
        <f t="shared" si="92"/>
        <v>0</v>
      </c>
      <c r="I511" s="430">
        <f t="shared" si="92"/>
        <v>0</v>
      </c>
      <c r="J511" s="430">
        <f t="shared" si="92"/>
        <v>0</v>
      </c>
      <c r="K511" s="430">
        <f t="shared" si="92"/>
        <v>0</v>
      </c>
      <c r="L511" s="430">
        <f t="shared" si="92"/>
        <v>0</v>
      </c>
      <c r="M511" s="430">
        <f t="shared" si="92"/>
        <v>0</v>
      </c>
      <c r="N511" s="1013">
        <f t="shared" si="92"/>
        <v>11534.489999999998</v>
      </c>
      <c r="O511" s="1274">
        <f t="shared" si="92"/>
        <v>12457.199999999999</v>
      </c>
      <c r="P511" s="1008">
        <f t="shared" si="92"/>
        <v>28848</v>
      </c>
      <c r="Q511" s="1014">
        <f>SUM(Q510)</f>
        <v>17613.23</v>
      </c>
      <c r="R511" s="753">
        <f>Q503+Q507-Q508+Q511</f>
        <v>0</v>
      </c>
    </row>
    <row r="512" spans="1:17" s="751" customFormat="1" ht="6.75" customHeight="1" thickBot="1">
      <c r="A512" s="689"/>
      <c r="B512" s="448"/>
      <c r="C512" s="690"/>
      <c r="D512" s="711"/>
      <c r="E512" s="712"/>
      <c r="F512" s="690"/>
      <c r="G512" s="704"/>
      <c r="H512" s="705"/>
      <c r="I512" s="690"/>
      <c r="J512" s="690"/>
      <c r="K512" s="690"/>
      <c r="L512" s="690"/>
      <c r="M512" s="690"/>
      <c r="N512" s="690"/>
      <c r="O512" s="690"/>
      <c r="P512" s="704"/>
      <c r="Q512" s="706"/>
    </row>
    <row r="513" spans="1:17" s="750" customFormat="1" ht="15" customHeight="1">
      <c r="A513" s="2057">
        <v>25</v>
      </c>
      <c r="B513" s="2035" t="s">
        <v>1363</v>
      </c>
      <c r="C513" s="2028" t="s">
        <v>435</v>
      </c>
      <c r="D513" s="415" t="s">
        <v>436</v>
      </c>
      <c r="E513" s="435"/>
      <c r="F513" s="435"/>
      <c r="G513" s="435"/>
      <c r="H513" s="435"/>
      <c r="I513" s="435"/>
      <c r="J513" s="435"/>
      <c r="K513" s="435"/>
      <c r="L513" s="435"/>
      <c r="M513" s="388"/>
      <c r="N513" s="436"/>
      <c r="O513" s="435">
        <v>0</v>
      </c>
      <c r="P513" s="388">
        <v>0</v>
      </c>
      <c r="Q513" s="390">
        <f>SUM(E513:P513)</f>
        <v>0</v>
      </c>
    </row>
    <row r="514" spans="1:17" s="750" customFormat="1" ht="15" customHeight="1">
      <c r="A514" s="2058"/>
      <c r="B514" s="2036"/>
      <c r="C514" s="2029"/>
      <c r="D514" s="426" t="s">
        <v>825</v>
      </c>
      <c r="E514" s="438"/>
      <c r="F514" s="438"/>
      <c r="G514" s="438"/>
      <c r="H514" s="438"/>
      <c r="I514" s="438"/>
      <c r="J514" s="438"/>
      <c r="K514" s="438"/>
      <c r="L514" s="438"/>
      <c r="M514" s="358"/>
      <c r="N514" s="362"/>
      <c r="O514" s="362">
        <v>0</v>
      </c>
      <c r="P514" s="554">
        <v>0</v>
      </c>
      <c r="Q514" s="359">
        <f>SUM(E514:P514)</f>
        <v>0</v>
      </c>
    </row>
    <row r="515" spans="1:17" s="750" customFormat="1" ht="15" customHeight="1">
      <c r="A515" s="2058"/>
      <c r="B515" s="2036"/>
      <c r="C515" s="2029"/>
      <c r="D515" s="426" t="s">
        <v>437</v>
      </c>
      <c r="E515" s="438"/>
      <c r="F515" s="438"/>
      <c r="G515" s="438"/>
      <c r="H515" s="438"/>
      <c r="I515" s="438"/>
      <c r="J515" s="438"/>
      <c r="K515" s="438"/>
      <c r="L515" s="438"/>
      <c r="M515" s="358"/>
      <c r="N515" s="358"/>
      <c r="O515" s="358">
        <v>0</v>
      </c>
      <c r="P515" s="554">
        <v>0</v>
      </c>
      <c r="Q515" s="361">
        <f>SUM(E515:P515)</f>
        <v>0</v>
      </c>
    </row>
    <row r="516" spans="1:17" s="750" customFormat="1" ht="15" customHeight="1">
      <c r="A516" s="2058"/>
      <c r="B516" s="2036"/>
      <c r="C516" s="2029"/>
      <c r="D516" s="410" t="s">
        <v>438</v>
      </c>
      <c r="E516" s="368">
        <f aca="true" t="shared" si="93" ref="E516:P516">SUM(E513:E515)</f>
        <v>0</v>
      </c>
      <c r="F516" s="368">
        <f t="shared" si="93"/>
        <v>0</v>
      </c>
      <c r="G516" s="368">
        <f t="shared" si="93"/>
        <v>0</v>
      </c>
      <c r="H516" s="368">
        <f t="shared" si="93"/>
        <v>0</v>
      </c>
      <c r="I516" s="368">
        <f t="shared" si="93"/>
        <v>0</v>
      </c>
      <c r="J516" s="368">
        <f t="shared" si="93"/>
        <v>0</v>
      </c>
      <c r="K516" s="368">
        <f t="shared" si="93"/>
        <v>0</v>
      </c>
      <c r="L516" s="368">
        <f t="shared" si="93"/>
        <v>0</v>
      </c>
      <c r="M516" s="368">
        <f t="shared" si="93"/>
        <v>0</v>
      </c>
      <c r="N516" s="365">
        <f t="shared" si="93"/>
        <v>0</v>
      </c>
      <c r="O516" s="365">
        <f t="shared" si="93"/>
        <v>0</v>
      </c>
      <c r="P516" s="561">
        <f t="shared" si="93"/>
        <v>0</v>
      </c>
      <c r="Q516" s="366">
        <f>SUM(Q513:Q515)</f>
        <v>0</v>
      </c>
    </row>
    <row r="517" spans="1:17" s="750" customFormat="1" ht="15" customHeight="1">
      <c r="A517" s="2058"/>
      <c r="B517" s="2036"/>
      <c r="C517" s="2029"/>
      <c r="D517" s="426" t="s">
        <v>439</v>
      </c>
      <c r="E517" s="438"/>
      <c r="F517" s="438"/>
      <c r="G517" s="438"/>
      <c r="H517" s="442"/>
      <c r="I517" s="442"/>
      <c r="J517" s="442"/>
      <c r="K517" s="442"/>
      <c r="L517" s="442"/>
      <c r="M517" s="442"/>
      <c r="N517" s="358"/>
      <c r="O517" s="358">
        <v>0</v>
      </c>
      <c r="P517" s="554">
        <v>0</v>
      </c>
      <c r="Q517" s="361">
        <f>SUM(E517:P517)</f>
        <v>0</v>
      </c>
    </row>
    <row r="518" spans="1:17" s="750" customFormat="1" ht="15" customHeight="1">
      <c r="A518" s="2058"/>
      <c r="B518" s="2036"/>
      <c r="C518" s="2029"/>
      <c r="D518" s="426" t="s">
        <v>826</v>
      </c>
      <c r="E518" s="438"/>
      <c r="F518" s="438"/>
      <c r="G518" s="438"/>
      <c r="H518" s="438"/>
      <c r="I518" s="438"/>
      <c r="J518" s="438"/>
      <c r="K518" s="438"/>
      <c r="L518" s="438"/>
      <c r="M518" s="438"/>
      <c r="N518" s="358"/>
      <c r="O518" s="358">
        <v>0</v>
      </c>
      <c r="P518" s="554">
        <v>0</v>
      </c>
      <c r="Q518" s="361">
        <f>SUM(E518:P518)</f>
        <v>0</v>
      </c>
    </row>
    <row r="519" spans="1:17" s="750" customFormat="1" ht="15" customHeight="1">
      <c r="A519" s="2058"/>
      <c r="B519" s="2036"/>
      <c r="C519" s="2029"/>
      <c r="D519" s="426" t="s">
        <v>440</v>
      </c>
      <c r="E519" s="438"/>
      <c r="F519" s="438"/>
      <c r="G519" s="438"/>
      <c r="H519" s="438"/>
      <c r="I519" s="438"/>
      <c r="J519" s="438"/>
      <c r="K519" s="438"/>
      <c r="L519" s="438"/>
      <c r="M519" s="438"/>
      <c r="N519" s="358"/>
      <c r="O519" s="358">
        <v>587</v>
      </c>
      <c r="P519" s="554">
        <v>642</v>
      </c>
      <c r="Q519" s="361">
        <f>SUM(E519:P519)</f>
        <v>1229</v>
      </c>
    </row>
    <row r="520" spans="1:17" s="750" customFormat="1" ht="15" customHeight="1">
      <c r="A520" s="2058"/>
      <c r="B520" s="2036"/>
      <c r="C520" s="2030"/>
      <c r="D520" s="410" t="s">
        <v>441</v>
      </c>
      <c r="E520" s="449">
        <f aca="true" t="shared" si="94" ref="E520:P520">SUM(E517:E519)</f>
        <v>0</v>
      </c>
      <c r="F520" s="449">
        <f t="shared" si="94"/>
        <v>0</v>
      </c>
      <c r="G520" s="449">
        <f t="shared" si="94"/>
        <v>0</v>
      </c>
      <c r="H520" s="449">
        <f t="shared" si="94"/>
        <v>0</v>
      </c>
      <c r="I520" s="449">
        <f t="shared" si="94"/>
        <v>0</v>
      </c>
      <c r="J520" s="368">
        <f t="shared" si="94"/>
        <v>0</v>
      </c>
      <c r="K520" s="368">
        <f t="shared" si="94"/>
        <v>0</v>
      </c>
      <c r="L520" s="368">
        <f t="shared" si="94"/>
        <v>0</v>
      </c>
      <c r="M520" s="365">
        <f t="shared" si="94"/>
        <v>0</v>
      </c>
      <c r="N520" s="365">
        <f t="shared" si="94"/>
        <v>0</v>
      </c>
      <c r="O520" s="365">
        <f t="shared" si="94"/>
        <v>587</v>
      </c>
      <c r="P520" s="561">
        <f t="shared" si="94"/>
        <v>642</v>
      </c>
      <c r="Q520" s="366">
        <f>SUM(Q517:Q519)</f>
        <v>1229</v>
      </c>
    </row>
    <row r="521" spans="1:17" s="750" customFormat="1" ht="15" customHeight="1">
      <c r="A521" s="2058"/>
      <c r="B521" s="2036"/>
      <c r="C521" s="2029" t="s">
        <v>444</v>
      </c>
      <c r="D521" s="409" t="s">
        <v>442</v>
      </c>
      <c r="E521" s="375"/>
      <c r="F521" s="375"/>
      <c r="G521" s="375"/>
      <c r="H521" s="375"/>
      <c r="I521" s="375"/>
      <c r="J521" s="371"/>
      <c r="K521" s="375"/>
      <c r="L521" s="371"/>
      <c r="M521" s="371"/>
      <c r="N521" s="1009"/>
      <c r="O521" s="1272">
        <v>587</v>
      </c>
      <c r="P521" s="556">
        <v>642</v>
      </c>
      <c r="Q521" s="1010">
        <f>SUM(E521:P521)</f>
        <v>1229</v>
      </c>
    </row>
    <row r="522" spans="1:17" s="751" customFormat="1" ht="15" customHeight="1">
      <c r="A522" s="2058"/>
      <c r="B522" s="2036"/>
      <c r="C522" s="2029"/>
      <c r="D522" s="363" t="s">
        <v>443</v>
      </c>
      <c r="E522" s="401">
        <f aca="true" t="shared" si="95" ref="E522:P522">SUM(E521)</f>
        <v>0</v>
      </c>
      <c r="F522" s="402">
        <f t="shared" si="95"/>
        <v>0</v>
      </c>
      <c r="G522" s="402">
        <f t="shared" si="95"/>
        <v>0</v>
      </c>
      <c r="H522" s="402">
        <f t="shared" si="95"/>
        <v>0</v>
      </c>
      <c r="I522" s="402">
        <f t="shared" si="95"/>
        <v>0</v>
      </c>
      <c r="J522" s="402">
        <f t="shared" si="95"/>
        <v>0</v>
      </c>
      <c r="K522" s="402">
        <f t="shared" si="95"/>
        <v>0</v>
      </c>
      <c r="L522" s="402">
        <f t="shared" si="95"/>
        <v>0</v>
      </c>
      <c r="M522" s="402">
        <f t="shared" si="95"/>
        <v>0</v>
      </c>
      <c r="N522" s="1011">
        <f t="shared" si="95"/>
        <v>0</v>
      </c>
      <c r="O522" s="1273">
        <f t="shared" si="95"/>
        <v>587</v>
      </c>
      <c r="P522" s="563">
        <f t="shared" si="95"/>
        <v>642</v>
      </c>
      <c r="Q522" s="1012">
        <f>SUM(Q521:Q521)</f>
        <v>1229</v>
      </c>
    </row>
    <row r="523" spans="1:17" s="750" customFormat="1" ht="15" customHeight="1">
      <c r="A523" s="2058"/>
      <c r="B523" s="2036"/>
      <c r="C523" s="2029"/>
      <c r="D523" s="409" t="s">
        <v>733</v>
      </c>
      <c r="E523" s="375"/>
      <c r="F523" s="375"/>
      <c r="G523" s="375"/>
      <c r="H523" s="375"/>
      <c r="I523" s="375"/>
      <c r="J523" s="371"/>
      <c r="K523" s="375"/>
      <c r="L523" s="371"/>
      <c r="M523" s="371"/>
      <c r="N523" s="1009"/>
      <c r="O523" s="1272"/>
      <c r="P523" s="556"/>
      <c r="Q523" s="1010">
        <f>SUM(E523:P523)</f>
        <v>0</v>
      </c>
    </row>
    <row r="524" spans="1:18" s="751" customFormat="1" ht="15" customHeight="1" thickBot="1">
      <c r="A524" s="2059"/>
      <c r="B524" s="2038"/>
      <c r="C524" s="2031"/>
      <c r="D524" s="423" t="s">
        <v>446</v>
      </c>
      <c r="E524" s="430">
        <f aca="true" t="shared" si="96" ref="E524:P524">SUM(E521:E523)</f>
        <v>0</v>
      </c>
      <c r="F524" s="430">
        <f t="shared" si="96"/>
        <v>0</v>
      </c>
      <c r="G524" s="686">
        <f t="shared" si="96"/>
        <v>0</v>
      </c>
      <c r="H524" s="430">
        <f t="shared" si="96"/>
        <v>0</v>
      </c>
      <c r="I524" s="430">
        <f t="shared" si="96"/>
        <v>0</v>
      </c>
      <c r="J524" s="430">
        <f t="shared" si="96"/>
        <v>0</v>
      </c>
      <c r="K524" s="430">
        <f t="shared" si="96"/>
        <v>0</v>
      </c>
      <c r="L524" s="430">
        <f t="shared" si="96"/>
        <v>0</v>
      </c>
      <c r="M524" s="430">
        <f t="shared" si="96"/>
        <v>0</v>
      </c>
      <c r="N524" s="1013">
        <f t="shared" si="96"/>
        <v>0</v>
      </c>
      <c r="O524" s="1274">
        <f t="shared" si="96"/>
        <v>1174</v>
      </c>
      <c r="P524" s="1008">
        <f t="shared" si="96"/>
        <v>1284</v>
      </c>
      <c r="Q524" s="1014">
        <f>SUM(Q523)</f>
        <v>0</v>
      </c>
      <c r="R524" s="753">
        <f>Q516+Q520-Q521+Q524</f>
        <v>0</v>
      </c>
    </row>
    <row r="525" spans="1:17" s="751" customFormat="1" ht="6.75" customHeight="1" thickBot="1">
      <c r="A525" s="689"/>
      <c r="B525" s="448"/>
      <c r="C525" s="690"/>
      <c r="D525" s="711"/>
      <c r="E525" s="712"/>
      <c r="F525" s="690"/>
      <c r="G525" s="704"/>
      <c r="H525" s="705"/>
      <c r="I525" s="690"/>
      <c r="J525" s="690"/>
      <c r="K525" s="690"/>
      <c r="L525" s="690"/>
      <c r="M525" s="690"/>
      <c r="N525" s="690"/>
      <c r="O525" s="690"/>
      <c r="P525" s="704"/>
      <c r="Q525" s="706"/>
    </row>
    <row r="526" spans="1:17" s="750" customFormat="1" ht="15" customHeight="1">
      <c r="A526" s="2022">
        <v>26</v>
      </c>
      <c r="B526" s="2025" t="s">
        <v>850</v>
      </c>
      <c r="C526" s="2028" t="s">
        <v>435</v>
      </c>
      <c r="D526" s="713" t="s">
        <v>436</v>
      </c>
      <c r="E526" s="714">
        <v>-3480</v>
      </c>
      <c r="F526" s="442">
        <v>0</v>
      </c>
      <c r="G526" s="715">
        <v>-12472</v>
      </c>
      <c r="H526" s="716">
        <v>-1133</v>
      </c>
      <c r="I526" s="367">
        <v>-360</v>
      </c>
      <c r="J526" s="367">
        <v>-260</v>
      </c>
      <c r="K526" s="367">
        <v>-6960</v>
      </c>
      <c r="L526" s="367">
        <v>-1680</v>
      </c>
      <c r="M526" s="367"/>
      <c r="N526" s="358"/>
      <c r="O526" s="358">
        <v>-4123</v>
      </c>
      <c r="P526" s="717">
        <v>0</v>
      </c>
      <c r="Q526" s="390">
        <f>SUM(E526:P526)</f>
        <v>-30468</v>
      </c>
    </row>
    <row r="527" spans="1:17" s="750" customFormat="1" ht="15" customHeight="1">
      <c r="A527" s="2023"/>
      <c r="B527" s="2026"/>
      <c r="C527" s="2029"/>
      <c r="D527" s="426" t="s">
        <v>825</v>
      </c>
      <c r="E527" s="438">
        <v>-1230</v>
      </c>
      <c r="F527" s="438">
        <v>0</v>
      </c>
      <c r="G527" s="438">
        <v>-480</v>
      </c>
      <c r="H527" s="438">
        <v>-325</v>
      </c>
      <c r="I527" s="367">
        <v>-27338</v>
      </c>
      <c r="J527" s="367">
        <v>-83745</v>
      </c>
      <c r="K527" s="358">
        <v>-69732</v>
      </c>
      <c r="L527" s="367">
        <v>-53298</v>
      </c>
      <c r="M527" s="358">
        <v>-39389</v>
      </c>
      <c r="N527" s="358">
        <v>-38600</v>
      </c>
      <c r="O527" s="358">
        <v>-26332</v>
      </c>
      <c r="P527" s="717">
        <v>-141</v>
      </c>
      <c r="Q527" s="359">
        <f>SUM(E527:P527)</f>
        <v>-340610</v>
      </c>
    </row>
    <row r="528" spans="1:17" s="750" customFormat="1" ht="15" customHeight="1">
      <c r="A528" s="2023"/>
      <c r="B528" s="2026"/>
      <c r="C528" s="2029"/>
      <c r="D528" s="426" t="s">
        <v>437</v>
      </c>
      <c r="E528" s="438">
        <v>-33330</v>
      </c>
      <c r="F528" s="438">
        <v>-18582</v>
      </c>
      <c r="G528" s="438">
        <v>-32976</v>
      </c>
      <c r="H528" s="438">
        <v>-23093</v>
      </c>
      <c r="I528" s="367">
        <v>-26180</v>
      </c>
      <c r="J528" s="367">
        <v>-20108</v>
      </c>
      <c r="K528" s="367">
        <v>-14490</v>
      </c>
      <c r="L528" s="358">
        <v>-14928</v>
      </c>
      <c r="M528" s="358">
        <v>-22320</v>
      </c>
      <c r="N528" s="358">
        <v>-38120</v>
      </c>
      <c r="O528" s="358">
        <v>-23735</v>
      </c>
      <c r="P528" s="717">
        <v>0</v>
      </c>
      <c r="Q528" s="361">
        <f>SUM(E528:P528)</f>
        <v>-267862</v>
      </c>
    </row>
    <row r="529" spans="1:17" s="750" customFormat="1" ht="15" customHeight="1">
      <c r="A529" s="2023"/>
      <c r="B529" s="2026"/>
      <c r="C529" s="2029"/>
      <c r="D529" s="410" t="s">
        <v>438</v>
      </c>
      <c r="E529" s="369">
        <f>SUM(E526:E528)</f>
        <v>-38040</v>
      </c>
      <c r="F529" s="369">
        <f>SUM(F526:F528)</f>
        <v>-18582</v>
      </c>
      <c r="G529" s="369">
        <f>SUM(G526:G528)</f>
        <v>-45928</v>
      </c>
      <c r="H529" s="369">
        <f>SUM(H526:H528)</f>
        <v>-24551</v>
      </c>
      <c r="I529" s="369">
        <f>SUM(I526:I528)</f>
        <v>-53878</v>
      </c>
      <c r="J529" s="369">
        <f>SUM(J526:J528)</f>
        <v>-104113</v>
      </c>
      <c r="K529" s="365">
        <f aca="true" t="shared" si="97" ref="K529:P529">SUM(K526:K528)</f>
        <v>-91182</v>
      </c>
      <c r="L529" s="365">
        <f t="shared" si="97"/>
        <v>-69906</v>
      </c>
      <c r="M529" s="365">
        <f t="shared" si="97"/>
        <v>-61709</v>
      </c>
      <c r="N529" s="365">
        <f t="shared" si="97"/>
        <v>-76720</v>
      </c>
      <c r="O529" s="365">
        <f t="shared" si="97"/>
        <v>-54190</v>
      </c>
      <c r="P529" s="365">
        <f t="shared" si="97"/>
        <v>-141</v>
      </c>
      <c r="Q529" s="366">
        <f>SUM(Q526:Q528)</f>
        <v>-638940</v>
      </c>
    </row>
    <row r="530" spans="1:17" s="750" customFormat="1" ht="15" customHeight="1">
      <c r="A530" s="2023"/>
      <c r="B530" s="2026"/>
      <c r="C530" s="2029"/>
      <c r="D530" s="426" t="s">
        <v>439</v>
      </c>
      <c r="E530" s="438">
        <v>0</v>
      </c>
      <c r="F530" s="438">
        <v>0</v>
      </c>
      <c r="G530" s="438">
        <v>0</v>
      </c>
      <c r="H530" s="438">
        <v>0</v>
      </c>
      <c r="I530" s="367"/>
      <c r="J530" s="367"/>
      <c r="K530" s="367"/>
      <c r="L530" s="367"/>
      <c r="M530" s="367"/>
      <c r="N530" s="358"/>
      <c r="O530" s="358">
        <v>160</v>
      </c>
      <c r="P530" s="554">
        <v>6624</v>
      </c>
      <c r="Q530" s="361">
        <f>SUM(E530:P530)</f>
        <v>6784</v>
      </c>
    </row>
    <row r="531" spans="1:17" s="750" customFormat="1" ht="15" customHeight="1">
      <c r="A531" s="2023"/>
      <c r="B531" s="2026"/>
      <c r="C531" s="2029"/>
      <c r="D531" s="426" t="s">
        <v>826</v>
      </c>
      <c r="E531" s="438">
        <v>4080</v>
      </c>
      <c r="F531" s="438">
        <v>0</v>
      </c>
      <c r="G531" s="438">
        <v>2654</v>
      </c>
      <c r="H531" s="438">
        <v>19528</v>
      </c>
      <c r="I531" s="367">
        <v>36528</v>
      </c>
      <c r="J531" s="367">
        <v>1944</v>
      </c>
      <c r="K531" s="367">
        <v>5735</v>
      </c>
      <c r="L531" s="367">
        <v>7152</v>
      </c>
      <c r="M531" s="367">
        <v>6894</v>
      </c>
      <c r="N531" s="358">
        <v>3418</v>
      </c>
      <c r="O531" s="358">
        <v>13402</v>
      </c>
      <c r="P531" s="554">
        <v>72623</v>
      </c>
      <c r="Q531" s="361">
        <f>SUM(E531:P531)</f>
        <v>173958</v>
      </c>
    </row>
    <row r="532" spans="1:17" s="750" customFormat="1" ht="15" customHeight="1">
      <c r="A532" s="2023"/>
      <c r="B532" s="2026"/>
      <c r="C532" s="2029"/>
      <c r="D532" s="426" t="s">
        <v>440</v>
      </c>
      <c r="E532" s="438">
        <v>840</v>
      </c>
      <c r="F532" s="438">
        <v>0</v>
      </c>
      <c r="G532" s="438">
        <v>0</v>
      </c>
      <c r="H532" s="438">
        <v>1800</v>
      </c>
      <c r="I532" s="367"/>
      <c r="J532" s="367"/>
      <c r="K532" s="367"/>
      <c r="L532" s="367"/>
      <c r="M532" s="367"/>
      <c r="N532" s="358"/>
      <c r="O532" s="358">
        <v>12096</v>
      </c>
      <c r="P532" s="554">
        <v>9681</v>
      </c>
      <c r="Q532" s="361">
        <f>SUM(E532:P532)</f>
        <v>24417</v>
      </c>
    </row>
    <row r="533" spans="1:17" s="750" customFormat="1" ht="15" customHeight="1">
      <c r="A533" s="2023"/>
      <c r="B533" s="2026"/>
      <c r="C533" s="2030"/>
      <c r="D533" s="410" t="s">
        <v>441</v>
      </c>
      <c r="E533" s="365">
        <f>SUM(E530:E532)</f>
        <v>4920</v>
      </c>
      <c r="F533" s="365">
        <f>SUM(F530:F532)</f>
        <v>0</v>
      </c>
      <c r="G533" s="365">
        <f>SUM(G530:G532)</f>
        <v>2654</v>
      </c>
      <c r="H533" s="369">
        <f>SUM(H530:H532)</f>
        <v>21328</v>
      </c>
      <c r="I533" s="365">
        <f>SUM(I530:I532)</f>
        <v>36528</v>
      </c>
      <c r="J533" s="365">
        <f>SUM(J530:J532)</f>
        <v>1944</v>
      </c>
      <c r="K533" s="365">
        <f aca="true" t="shared" si="98" ref="K533:P533">SUM(K530:K532)</f>
        <v>5735</v>
      </c>
      <c r="L533" s="365">
        <f t="shared" si="98"/>
        <v>7152</v>
      </c>
      <c r="M533" s="365">
        <f t="shared" si="98"/>
        <v>6894</v>
      </c>
      <c r="N533" s="365">
        <f t="shared" si="98"/>
        <v>3418</v>
      </c>
      <c r="O533" s="365">
        <f t="shared" si="98"/>
        <v>25658</v>
      </c>
      <c r="P533" s="561">
        <f t="shared" si="98"/>
        <v>88928</v>
      </c>
      <c r="Q533" s="366">
        <f>SUM(Q530:Q532)</f>
        <v>205159</v>
      </c>
    </row>
    <row r="534" spans="1:17" s="750" customFormat="1" ht="0.75" customHeight="1" hidden="1">
      <c r="A534" s="2023"/>
      <c r="B534" s="2026"/>
      <c r="C534" s="718"/>
      <c r="D534" s="422" t="s">
        <v>531</v>
      </c>
      <c r="E534" s="450"/>
      <c r="F534" s="450"/>
      <c r="G534" s="450"/>
      <c r="H534" s="450"/>
      <c r="I534" s="450"/>
      <c r="J534" s="450"/>
      <c r="K534" s="450"/>
      <c r="L534" s="450"/>
      <c r="M534" s="450"/>
      <c r="N534" s="451"/>
      <c r="O534" s="451"/>
      <c r="P534" s="589"/>
      <c r="Q534" s="361">
        <f>SUM(E534:P534)</f>
        <v>0</v>
      </c>
    </row>
    <row r="535" spans="1:17" s="750" customFormat="1" ht="0.75" customHeight="1" hidden="1">
      <c r="A535" s="2023"/>
      <c r="B535" s="2026"/>
      <c r="C535" s="718"/>
      <c r="D535" s="409" t="s">
        <v>835</v>
      </c>
      <c r="E535" s="375"/>
      <c r="F535" s="375"/>
      <c r="G535" s="375"/>
      <c r="H535" s="375"/>
      <c r="I535" s="375"/>
      <c r="J535" s="371"/>
      <c r="K535" s="375"/>
      <c r="L535" s="371"/>
      <c r="M535" s="371"/>
      <c r="N535" s="371"/>
      <c r="O535" s="371"/>
      <c r="P535" s="556"/>
      <c r="Q535" s="361">
        <f aca="true" t="shared" si="99" ref="Q535:Q550">SUM(E535:P535)</f>
        <v>0</v>
      </c>
    </row>
    <row r="536" spans="1:17" s="750" customFormat="1" ht="0.75" customHeight="1" hidden="1">
      <c r="A536" s="2023"/>
      <c r="B536" s="2026"/>
      <c r="C536" s="718"/>
      <c r="D536" s="422" t="s">
        <v>851</v>
      </c>
      <c r="E536" s="375"/>
      <c r="F536" s="452"/>
      <c r="G536" s="452"/>
      <c r="H536" s="452"/>
      <c r="I536" s="452"/>
      <c r="J536" s="452"/>
      <c r="K536" s="452"/>
      <c r="L536" s="452"/>
      <c r="M536" s="452"/>
      <c r="N536" s="590"/>
      <c r="O536" s="590"/>
      <c r="P536" s="591"/>
      <c r="Q536" s="361">
        <f t="shared" si="99"/>
        <v>0</v>
      </c>
    </row>
    <row r="537" spans="1:17" s="750" customFormat="1" ht="0.75" customHeight="1" hidden="1">
      <c r="A537" s="2023"/>
      <c r="B537" s="2026"/>
      <c r="C537" s="718"/>
      <c r="D537" s="422" t="s">
        <v>449</v>
      </c>
      <c r="E537" s="452"/>
      <c r="F537" s="452"/>
      <c r="G537" s="452"/>
      <c r="H537" s="452"/>
      <c r="I537" s="452"/>
      <c r="J537" s="452"/>
      <c r="K537" s="452"/>
      <c r="L537" s="452"/>
      <c r="M537" s="452"/>
      <c r="N537" s="590"/>
      <c r="O537" s="590"/>
      <c r="P537" s="591"/>
      <c r="Q537" s="361">
        <f t="shared" si="99"/>
        <v>0</v>
      </c>
    </row>
    <row r="538" spans="1:17" s="750" customFormat="1" ht="0.75" customHeight="1" hidden="1">
      <c r="A538" s="2023"/>
      <c r="B538" s="2026"/>
      <c r="C538" s="718"/>
      <c r="D538" s="422" t="s">
        <v>452</v>
      </c>
      <c r="E538" s="452"/>
      <c r="F538" s="452"/>
      <c r="G538" s="452"/>
      <c r="H538" s="452"/>
      <c r="I538" s="452"/>
      <c r="J538" s="452"/>
      <c r="K538" s="452"/>
      <c r="L538" s="452"/>
      <c r="M538" s="452"/>
      <c r="N538" s="590"/>
      <c r="O538" s="590"/>
      <c r="P538" s="591"/>
      <c r="Q538" s="361">
        <f t="shared" si="99"/>
        <v>0</v>
      </c>
    </row>
    <row r="539" spans="1:17" s="750" customFormat="1" ht="0.75" customHeight="1" hidden="1">
      <c r="A539" s="2023"/>
      <c r="B539" s="2026"/>
      <c r="C539" s="718"/>
      <c r="D539" s="422" t="s">
        <v>839</v>
      </c>
      <c r="E539" s="452"/>
      <c r="F539" s="452"/>
      <c r="G539" s="452"/>
      <c r="H539" s="452"/>
      <c r="I539" s="452"/>
      <c r="J539" s="452"/>
      <c r="K539" s="452"/>
      <c r="L539" s="452"/>
      <c r="M539" s="452"/>
      <c r="N539" s="590"/>
      <c r="O539" s="590"/>
      <c r="P539" s="591"/>
      <c r="Q539" s="361">
        <f t="shared" si="99"/>
        <v>0</v>
      </c>
    </row>
    <row r="540" spans="1:17" s="750" customFormat="1" ht="0.75" customHeight="1" hidden="1">
      <c r="A540" s="2023"/>
      <c r="B540" s="2026"/>
      <c r="C540" s="718"/>
      <c r="D540" s="422" t="s">
        <v>840</v>
      </c>
      <c r="E540" s="452"/>
      <c r="F540" s="452"/>
      <c r="G540" s="452"/>
      <c r="H540" s="452"/>
      <c r="I540" s="452"/>
      <c r="J540" s="452"/>
      <c r="K540" s="452"/>
      <c r="L540" s="452"/>
      <c r="M540" s="452"/>
      <c r="N540" s="590"/>
      <c r="O540" s="590"/>
      <c r="P540" s="591"/>
      <c r="Q540" s="361">
        <f t="shared" si="99"/>
        <v>0</v>
      </c>
    </row>
    <row r="541" spans="1:17" s="750" customFormat="1" ht="0.75" customHeight="1" hidden="1">
      <c r="A541" s="2023"/>
      <c r="B541" s="2026"/>
      <c r="C541" s="718"/>
      <c r="D541" s="422" t="s">
        <v>651</v>
      </c>
      <c r="E541" s="452"/>
      <c r="F541" s="452"/>
      <c r="G541" s="452"/>
      <c r="H541" s="452"/>
      <c r="I541" s="452"/>
      <c r="J541" s="452"/>
      <c r="K541" s="452"/>
      <c r="L541" s="452"/>
      <c r="M541" s="452"/>
      <c r="N541" s="590"/>
      <c r="O541" s="590"/>
      <c r="P541" s="591"/>
      <c r="Q541" s="361">
        <f t="shared" si="99"/>
        <v>0</v>
      </c>
    </row>
    <row r="542" spans="1:17" s="750" customFormat="1" ht="15" customHeight="1">
      <c r="A542" s="2023"/>
      <c r="B542" s="2026"/>
      <c r="C542" s="2029" t="s">
        <v>444</v>
      </c>
      <c r="D542" s="422" t="s">
        <v>1160</v>
      </c>
      <c r="E542" s="452"/>
      <c r="F542" s="452">
        <v>-17496</v>
      </c>
      <c r="G542" s="452">
        <v>-5650</v>
      </c>
      <c r="H542" s="452"/>
      <c r="I542" s="452">
        <v>-3744</v>
      </c>
      <c r="J542" s="452">
        <v>-1490</v>
      </c>
      <c r="K542" s="452"/>
      <c r="L542" s="452">
        <v>-3960</v>
      </c>
      <c r="M542" s="452">
        <v>-9046</v>
      </c>
      <c r="N542" s="590"/>
      <c r="O542" s="590">
        <v>-4200</v>
      </c>
      <c r="P542" s="591"/>
      <c r="Q542" s="361">
        <f t="shared" si="99"/>
        <v>-45586</v>
      </c>
    </row>
    <row r="543" spans="1:17" s="750" customFormat="1" ht="15" customHeight="1">
      <c r="A543" s="2023"/>
      <c r="B543" s="2026"/>
      <c r="C543" s="2029"/>
      <c r="D543" s="422" t="s">
        <v>852</v>
      </c>
      <c r="E543" s="452">
        <v>-24820</v>
      </c>
      <c r="F543" s="452"/>
      <c r="G543" s="452"/>
      <c r="H543" s="452"/>
      <c r="I543" s="452"/>
      <c r="J543" s="452"/>
      <c r="K543" s="452">
        <f>SUM('[3]TOTAL'!D40:AA40)</f>
        <v>-3360</v>
      </c>
      <c r="L543" s="452"/>
      <c r="M543" s="452"/>
      <c r="N543" s="590">
        <v>-9600</v>
      </c>
      <c r="O543" s="590"/>
      <c r="P543" s="591"/>
      <c r="Q543" s="361">
        <f t="shared" si="99"/>
        <v>-37780</v>
      </c>
    </row>
    <row r="544" spans="1:21" s="750" customFormat="1" ht="15" customHeight="1">
      <c r="A544" s="2023"/>
      <c r="B544" s="2026"/>
      <c r="C544" s="2029"/>
      <c r="D544" s="422" t="s">
        <v>853</v>
      </c>
      <c r="E544" s="452">
        <v>-1860</v>
      </c>
      <c r="F544" s="452"/>
      <c r="G544" s="452">
        <v>-4100</v>
      </c>
      <c r="H544" s="452">
        <v>-2050</v>
      </c>
      <c r="I544" s="452"/>
      <c r="J544" s="452"/>
      <c r="K544" s="452">
        <v>-3036</v>
      </c>
      <c r="L544" s="452">
        <v>-72</v>
      </c>
      <c r="M544" s="452">
        <v>-2130</v>
      </c>
      <c r="N544" s="590">
        <v>-768</v>
      </c>
      <c r="O544" s="590">
        <v>-3619</v>
      </c>
      <c r="P544" s="591"/>
      <c r="Q544" s="361">
        <f t="shared" si="99"/>
        <v>-17635</v>
      </c>
      <c r="U544" s="754"/>
    </row>
    <row r="545" spans="1:17" s="750" customFormat="1" ht="15" customHeight="1">
      <c r="A545" s="2023"/>
      <c r="B545" s="2026"/>
      <c r="C545" s="2029"/>
      <c r="D545" s="409" t="s">
        <v>854</v>
      </c>
      <c r="E545" s="1001">
        <v>-33160</v>
      </c>
      <c r="F545" s="450">
        <v>-66040</v>
      </c>
      <c r="G545" s="450">
        <v>-12420</v>
      </c>
      <c r="H545" s="450">
        <v>-1460</v>
      </c>
      <c r="I545" s="450">
        <v>-7434</v>
      </c>
      <c r="J545" s="450">
        <v>-24960</v>
      </c>
      <c r="K545" s="450">
        <v>-40200</v>
      </c>
      <c r="L545" s="450">
        <v>-40110</v>
      </c>
      <c r="M545" s="450">
        <v>-18800</v>
      </c>
      <c r="N545" s="451">
        <v>-24170</v>
      </c>
      <c r="O545" s="451">
        <v>-45860</v>
      </c>
      <c r="P545" s="591"/>
      <c r="Q545" s="361">
        <f t="shared" si="99"/>
        <v>-314614</v>
      </c>
    </row>
    <row r="546" spans="1:17" s="750" customFormat="1" ht="15" customHeight="1" hidden="1">
      <c r="A546" s="2023"/>
      <c r="B546" s="2026"/>
      <c r="C546" s="2029"/>
      <c r="D546" s="422" t="s">
        <v>855</v>
      </c>
      <c r="E546" s="452"/>
      <c r="F546" s="452"/>
      <c r="G546" s="452"/>
      <c r="H546" s="452"/>
      <c r="I546" s="452"/>
      <c r="J546" s="452"/>
      <c r="K546" s="452"/>
      <c r="L546" s="452"/>
      <c r="M546" s="452"/>
      <c r="N546" s="590"/>
      <c r="O546" s="590"/>
      <c r="P546" s="591"/>
      <c r="Q546" s="361">
        <f t="shared" si="99"/>
        <v>0</v>
      </c>
    </row>
    <row r="547" spans="1:17" s="750" customFormat="1" ht="15" customHeight="1">
      <c r="A547" s="2023"/>
      <c r="B547" s="2026"/>
      <c r="C547" s="2029"/>
      <c r="D547" s="409" t="s">
        <v>456</v>
      </c>
      <c r="E547" s="1001">
        <v>-13680</v>
      </c>
      <c r="F547" s="452">
        <v>-19800</v>
      </c>
      <c r="G547" s="452"/>
      <c r="H547" s="452"/>
      <c r="I547" s="452">
        <v>-7550</v>
      </c>
      <c r="J547" s="452">
        <v>-7200</v>
      </c>
      <c r="K547" s="452">
        <v>-14130</v>
      </c>
      <c r="L547" s="452"/>
      <c r="M547" s="452"/>
      <c r="N547" s="590"/>
      <c r="O547" s="590"/>
      <c r="P547" s="591"/>
      <c r="Q547" s="361">
        <f t="shared" si="99"/>
        <v>-62360</v>
      </c>
    </row>
    <row r="548" spans="1:17" s="750" customFormat="1" ht="15" customHeight="1">
      <c r="A548" s="2023"/>
      <c r="B548" s="2026"/>
      <c r="C548" s="2029"/>
      <c r="D548" s="422" t="s">
        <v>856</v>
      </c>
      <c r="E548" s="452"/>
      <c r="F548" s="452">
        <v>-16800</v>
      </c>
      <c r="G548" s="452"/>
      <c r="H548" s="452">
        <v>-2981</v>
      </c>
      <c r="I548" s="452">
        <v>-4350</v>
      </c>
      <c r="J548" s="452">
        <v>-8460</v>
      </c>
      <c r="K548" s="452">
        <v>-9240</v>
      </c>
      <c r="L548" s="452">
        <v>-12900</v>
      </c>
      <c r="M548" s="452">
        <v>-10840</v>
      </c>
      <c r="N548" s="590">
        <v>-75</v>
      </c>
      <c r="O548" s="590"/>
      <c r="P548" s="591"/>
      <c r="Q548" s="361">
        <f t="shared" si="99"/>
        <v>-65646</v>
      </c>
    </row>
    <row r="549" spans="1:17" s="750" customFormat="1" ht="15" customHeight="1">
      <c r="A549" s="2023"/>
      <c r="B549" s="2026"/>
      <c r="C549" s="2029"/>
      <c r="D549" s="422" t="s">
        <v>1161</v>
      </c>
      <c r="E549" s="452"/>
      <c r="F549" s="452"/>
      <c r="G549" s="452">
        <v>-45140</v>
      </c>
      <c r="H549" s="452"/>
      <c r="I549" s="452">
        <v>-6496</v>
      </c>
      <c r="J549" s="452">
        <v>-17790</v>
      </c>
      <c r="K549" s="452">
        <v>-28260</v>
      </c>
      <c r="L549" s="452">
        <v>-2330</v>
      </c>
      <c r="M549" s="452">
        <v>-19260</v>
      </c>
      <c r="N549" s="590">
        <v>-8450</v>
      </c>
      <c r="O549" s="590">
        <v>-13440</v>
      </c>
      <c r="P549" s="591"/>
      <c r="Q549" s="361">
        <f t="shared" si="99"/>
        <v>-141166</v>
      </c>
    </row>
    <row r="550" spans="1:17" s="750" customFormat="1" ht="15" customHeight="1">
      <c r="A550" s="2023"/>
      <c r="B550" s="2026"/>
      <c r="C550" s="2029"/>
      <c r="D550" s="422" t="s">
        <v>1162</v>
      </c>
      <c r="E550" s="452"/>
      <c r="F550" s="452"/>
      <c r="G550" s="452">
        <v>-12200</v>
      </c>
      <c r="H550" s="452">
        <v>-1488</v>
      </c>
      <c r="I550" s="452">
        <v>-6650</v>
      </c>
      <c r="J550" s="452">
        <v>-22565</v>
      </c>
      <c r="K550" s="452">
        <v>-26940</v>
      </c>
      <c r="L550" s="452">
        <v>-18010</v>
      </c>
      <c r="M550" s="452">
        <v>-16740</v>
      </c>
      <c r="N550" s="590">
        <v>-15860</v>
      </c>
      <c r="O550" s="590">
        <v>-32360</v>
      </c>
      <c r="P550" s="591"/>
      <c r="Q550" s="361">
        <f t="shared" si="99"/>
        <v>-152813</v>
      </c>
    </row>
    <row r="551" spans="1:17" s="750" customFormat="1" ht="15" customHeight="1">
      <c r="A551" s="2023"/>
      <c r="B551" s="2026"/>
      <c r="C551" s="2029"/>
      <c r="D551" s="422" t="s">
        <v>836</v>
      </c>
      <c r="E551" s="452">
        <v>-2700</v>
      </c>
      <c r="F551" s="452"/>
      <c r="G551" s="452"/>
      <c r="H551" s="452">
        <v>-270</v>
      </c>
      <c r="I551" s="452">
        <v>-870</v>
      </c>
      <c r="J551" s="452">
        <v>-180</v>
      </c>
      <c r="K551" s="452">
        <v>-4560</v>
      </c>
      <c r="L551" s="452">
        <v>-4800</v>
      </c>
      <c r="M551" s="452">
        <v>-780</v>
      </c>
      <c r="N551" s="590"/>
      <c r="O551" s="590">
        <v>-3255</v>
      </c>
      <c r="P551" s="591"/>
      <c r="Q551" s="361">
        <f>SUM(E551:P551)</f>
        <v>-17415</v>
      </c>
    </row>
    <row r="552" spans="1:17" s="750" customFormat="1" ht="15" customHeight="1">
      <c r="A552" s="2023"/>
      <c r="B552" s="2026"/>
      <c r="C552" s="2029"/>
      <c r="D552" s="422" t="s">
        <v>835</v>
      </c>
      <c r="E552" s="452"/>
      <c r="F552" s="452"/>
      <c r="G552" s="452"/>
      <c r="H552" s="452">
        <v>150</v>
      </c>
      <c r="I552" s="452"/>
      <c r="J552" s="452"/>
      <c r="K552" s="452">
        <v>2259</v>
      </c>
      <c r="L552" s="452">
        <v>180</v>
      </c>
      <c r="M552" s="452">
        <v>120</v>
      </c>
      <c r="N552" s="590"/>
      <c r="O552" s="590">
        <v>910</v>
      </c>
      <c r="P552" s="591">
        <v>8252</v>
      </c>
      <c r="Q552" s="361">
        <f aca="true" t="shared" si="100" ref="Q552:Q562">SUM(E552:P552)</f>
        <v>11871</v>
      </c>
    </row>
    <row r="553" spans="1:17" s="750" customFormat="1" ht="15" customHeight="1">
      <c r="A553" s="2023"/>
      <c r="B553" s="2026"/>
      <c r="C553" s="2029"/>
      <c r="D553" s="422" t="s">
        <v>851</v>
      </c>
      <c r="E553" s="452"/>
      <c r="F553" s="452"/>
      <c r="G553" s="452"/>
      <c r="H553" s="452">
        <v>2700</v>
      </c>
      <c r="I553" s="452"/>
      <c r="J553" s="452"/>
      <c r="K553" s="452">
        <v>2000</v>
      </c>
      <c r="L553" s="452"/>
      <c r="M553" s="452"/>
      <c r="N553" s="590"/>
      <c r="O553" s="590"/>
      <c r="P553" s="591">
        <v>8400</v>
      </c>
      <c r="Q553" s="361">
        <f t="shared" si="100"/>
        <v>13100</v>
      </c>
    </row>
    <row r="554" spans="1:17" s="750" customFormat="1" ht="15" customHeight="1">
      <c r="A554" s="2023"/>
      <c r="B554" s="2026"/>
      <c r="C554" s="2029"/>
      <c r="D554" s="422" t="s">
        <v>452</v>
      </c>
      <c r="E554" s="452"/>
      <c r="F554" s="452"/>
      <c r="G554" s="452"/>
      <c r="H554" s="452">
        <v>2448</v>
      </c>
      <c r="I554" s="452"/>
      <c r="J554" s="452"/>
      <c r="K554" s="452">
        <v>1000</v>
      </c>
      <c r="L554" s="452">
        <v>180</v>
      </c>
      <c r="M554" s="452">
        <v>120</v>
      </c>
      <c r="N554" s="590"/>
      <c r="O554" s="590">
        <v>5280</v>
      </c>
      <c r="P554" s="591">
        <v>25400</v>
      </c>
      <c r="Q554" s="361">
        <f t="shared" si="100"/>
        <v>34428</v>
      </c>
    </row>
    <row r="555" spans="1:17" s="750" customFormat="1" ht="15" customHeight="1">
      <c r="A555" s="2023"/>
      <c r="B555" s="2026"/>
      <c r="C555" s="2029"/>
      <c r="D555" s="422" t="s">
        <v>840</v>
      </c>
      <c r="E555" s="452"/>
      <c r="F555" s="452"/>
      <c r="G555" s="452"/>
      <c r="H555" s="452">
        <v>1920</v>
      </c>
      <c r="I555" s="452"/>
      <c r="J555" s="452"/>
      <c r="K555" s="452"/>
      <c r="L555" s="452"/>
      <c r="M555" s="452"/>
      <c r="N555" s="590"/>
      <c r="O555" s="590">
        <f>1920+3420</f>
        <v>5340</v>
      </c>
      <c r="P555" s="591">
        <v>900</v>
      </c>
      <c r="Q555" s="361">
        <f t="shared" si="100"/>
        <v>8160</v>
      </c>
    </row>
    <row r="556" spans="1:17" s="750" customFormat="1" ht="15" customHeight="1">
      <c r="A556" s="2023"/>
      <c r="B556" s="2026"/>
      <c r="C556" s="2029"/>
      <c r="D556" s="422" t="s">
        <v>651</v>
      </c>
      <c r="E556" s="452"/>
      <c r="F556" s="452"/>
      <c r="G556" s="452"/>
      <c r="H556" s="452">
        <v>480</v>
      </c>
      <c r="I556" s="452"/>
      <c r="J556" s="452"/>
      <c r="K556" s="452">
        <v>400</v>
      </c>
      <c r="L556" s="452">
        <v>90</v>
      </c>
      <c r="M556" s="452">
        <v>60</v>
      </c>
      <c r="N556" s="590"/>
      <c r="O556" s="590">
        <v>840</v>
      </c>
      <c r="P556" s="591">
        <v>3750</v>
      </c>
      <c r="Q556" s="361">
        <f t="shared" si="100"/>
        <v>5620</v>
      </c>
    </row>
    <row r="557" spans="1:17" s="750" customFormat="1" ht="15" customHeight="1">
      <c r="A557" s="2023"/>
      <c r="B557" s="2026"/>
      <c r="C557" s="2029"/>
      <c r="D557" s="422" t="s">
        <v>449</v>
      </c>
      <c r="E557" s="452"/>
      <c r="F557" s="452"/>
      <c r="G557" s="452"/>
      <c r="H557" s="452"/>
      <c r="I557" s="452"/>
      <c r="J557" s="452">
        <v>900</v>
      </c>
      <c r="K557" s="452"/>
      <c r="L557" s="452"/>
      <c r="M557" s="452"/>
      <c r="N557" s="590"/>
      <c r="O557" s="590">
        <v>4470</v>
      </c>
      <c r="P557" s="591">
        <v>9650</v>
      </c>
      <c r="Q557" s="361">
        <f t="shared" si="100"/>
        <v>15020</v>
      </c>
    </row>
    <row r="558" spans="1:17" s="750" customFormat="1" ht="12.75">
      <c r="A558" s="2023"/>
      <c r="B558" s="2026"/>
      <c r="C558" s="2029"/>
      <c r="D558" s="422" t="s">
        <v>1163</v>
      </c>
      <c r="E558" s="452"/>
      <c r="F558" s="452"/>
      <c r="G558" s="452"/>
      <c r="H558" s="452"/>
      <c r="I558" s="452"/>
      <c r="J558" s="452">
        <v>240</v>
      </c>
      <c r="K558" s="452"/>
      <c r="L558" s="452"/>
      <c r="M558" s="452"/>
      <c r="N558" s="590"/>
      <c r="O558" s="590"/>
      <c r="P558" s="591">
        <v>25680</v>
      </c>
      <c r="Q558" s="361">
        <f t="shared" si="100"/>
        <v>25920</v>
      </c>
    </row>
    <row r="559" spans="1:17" s="750" customFormat="1" ht="12.75">
      <c r="A559" s="2023"/>
      <c r="B559" s="2026"/>
      <c r="C559" s="2029"/>
      <c r="D559" s="422" t="s">
        <v>1164</v>
      </c>
      <c r="E559" s="452"/>
      <c r="F559" s="452"/>
      <c r="G559" s="452"/>
      <c r="H559" s="452"/>
      <c r="I559" s="452"/>
      <c r="J559" s="452">
        <v>600</v>
      </c>
      <c r="K559" s="452"/>
      <c r="L559" s="452">
        <v>225</v>
      </c>
      <c r="M559" s="452">
        <v>150</v>
      </c>
      <c r="N559" s="590"/>
      <c r="O559" s="590">
        <v>6100</v>
      </c>
      <c r="P559" s="591">
        <v>8400</v>
      </c>
      <c r="Q559" s="361">
        <f t="shared" si="100"/>
        <v>15475</v>
      </c>
    </row>
    <row r="560" spans="1:17" s="750" customFormat="1" ht="12.75">
      <c r="A560" s="2023"/>
      <c r="B560" s="2026"/>
      <c r="C560" s="2029"/>
      <c r="D560" s="422" t="s">
        <v>531</v>
      </c>
      <c r="E560" s="452"/>
      <c r="F560" s="452"/>
      <c r="G560" s="452"/>
      <c r="H560" s="452"/>
      <c r="I560" s="452"/>
      <c r="J560" s="452"/>
      <c r="K560" s="452">
        <v>14162</v>
      </c>
      <c r="L560" s="452">
        <v>17286</v>
      </c>
      <c r="M560" s="452">
        <v>13595</v>
      </c>
      <c r="N560" s="590">
        <v>10665</v>
      </c>
      <c r="O560" s="590">
        <v>13255</v>
      </c>
      <c r="P560" s="591">
        <v>21925</v>
      </c>
      <c r="Q560" s="361">
        <f t="shared" si="100"/>
        <v>90888</v>
      </c>
    </row>
    <row r="561" spans="1:17" s="750" customFormat="1" ht="12.75">
      <c r="A561" s="2023"/>
      <c r="B561" s="2026"/>
      <c r="C561" s="2029"/>
      <c r="D561" s="422" t="s">
        <v>1163</v>
      </c>
      <c r="E561" s="452"/>
      <c r="F561" s="452"/>
      <c r="G561" s="452"/>
      <c r="H561" s="452"/>
      <c r="I561" s="452"/>
      <c r="J561" s="452"/>
      <c r="K561" s="452"/>
      <c r="L561" s="452">
        <v>225</v>
      </c>
      <c r="M561" s="452">
        <v>150</v>
      </c>
      <c r="N561" s="590"/>
      <c r="O561" s="590">
        <v>4200</v>
      </c>
      <c r="P561" s="591"/>
      <c r="Q561" s="361">
        <f t="shared" si="100"/>
        <v>4575</v>
      </c>
    </row>
    <row r="562" spans="1:17" s="750" customFormat="1" ht="12.75">
      <c r="A562" s="2023"/>
      <c r="B562" s="2026"/>
      <c r="C562" s="2029"/>
      <c r="D562" s="422" t="s">
        <v>1165</v>
      </c>
      <c r="E562" s="452"/>
      <c r="F562" s="452"/>
      <c r="G562" s="452"/>
      <c r="H562" s="452"/>
      <c r="I562" s="452">
        <v>-1775</v>
      </c>
      <c r="J562" s="452">
        <v>-540</v>
      </c>
      <c r="K562" s="452">
        <v>-4560</v>
      </c>
      <c r="L562" s="452">
        <f>-5310</f>
        <v>-5310</v>
      </c>
      <c r="M562" s="452">
        <v>-3800</v>
      </c>
      <c r="N562" s="590">
        <v>-8448</v>
      </c>
      <c r="O562" s="590"/>
      <c r="P562" s="591"/>
      <c r="Q562" s="361">
        <f t="shared" si="100"/>
        <v>-24433</v>
      </c>
    </row>
    <row r="563" spans="1:20" s="751" customFormat="1" ht="13.5" thickBot="1">
      <c r="A563" s="2024"/>
      <c r="B563" s="2027"/>
      <c r="C563" s="2031"/>
      <c r="D563" s="423" t="s">
        <v>446</v>
      </c>
      <c r="E563" s="379">
        <f>SUM(E542:E562)</f>
        <v>-76220</v>
      </c>
      <c r="F563" s="379">
        <f>SUM(F534:F562)</f>
        <v>-120136</v>
      </c>
      <c r="G563" s="379">
        <f>SUM(G534:G562)</f>
        <v>-79510</v>
      </c>
      <c r="H563" s="379">
        <f>SUM(H534:H562)</f>
        <v>-551</v>
      </c>
      <c r="I563" s="379">
        <f>SUM(I534:I562)</f>
        <v>-38869</v>
      </c>
      <c r="J563" s="379">
        <f>SUM(J534:J562)</f>
        <v>-81445</v>
      </c>
      <c r="K563" s="379">
        <f>SUM(K534:K551)</f>
        <v>-129726</v>
      </c>
      <c r="L563" s="379">
        <f>SUM(L534:L551)</f>
        <v>-82182</v>
      </c>
      <c r="M563" s="379">
        <f>SUM(M534:M551)</f>
        <v>-77596</v>
      </c>
      <c r="N563" s="379">
        <f>SUM(N534:N551)</f>
        <v>-58923</v>
      </c>
      <c r="O563" s="379">
        <f>SUM(O534:O551)</f>
        <v>-102734</v>
      </c>
      <c r="P563" s="379">
        <f>SUM(P534:P551)</f>
        <v>0</v>
      </c>
      <c r="Q563" s="380">
        <f>SUM(Q534:Q562)</f>
        <v>-654391</v>
      </c>
      <c r="T563" s="750"/>
    </row>
    <row r="564" ht="13.5">
      <c r="Q564" s="322"/>
    </row>
    <row r="565" spans="4:25" ht="13.5">
      <c r="D565" s="453"/>
      <c r="H565" s="324"/>
      <c r="J565" s="324"/>
      <c r="Y565" s="1586"/>
    </row>
    <row r="566" spans="4:16" ht="13.5">
      <c r="D566" s="453"/>
      <c r="E566" s="454"/>
      <c r="F566" s="454"/>
      <c r="G566" s="454"/>
      <c r="H566" s="454"/>
      <c r="I566" s="454"/>
      <c r="J566" s="454"/>
      <c r="K566" s="454"/>
      <c r="L566" s="454"/>
      <c r="M566" s="454"/>
      <c r="N566" s="454"/>
      <c r="O566" s="454"/>
      <c r="P566" s="454"/>
    </row>
    <row r="567" spans="2:10" ht="13.5">
      <c r="B567" s="759" t="s">
        <v>1193</v>
      </c>
      <c r="H567" s="324"/>
      <c r="J567" s="324"/>
    </row>
    <row r="568" ht="14.25" thickBot="1">
      <c r="B568" s="760" t="s">
        <v>1194</v>
      </c>
    </row>
    <row r="569" spans="2:15" ht="16.5" thickBot="1">
      <c r="B569" s="760" t="s">
        <v>1195</v>
      </c>
      <c r="N569" s="2020" t="s">
        <v>1055</v>
      </c>
      <c r="O569" s="2021"/>
    </row>
    <row r="570" spans="2:10" ht="13.5">
      <c r="B570" s="760" t="s">
        <v>1196</v>
      </c>
      <c r="E570" s="206"/>
      <c r="F570" s="206"/>
      <c r="G570" s="206"/>
      <c r="H570" s="206"/>
      <c r="I570" s="206"/>
      <c r="J570" s="206"/>
    </row>
    <row r="571" spans="5:10" ht="13.5">
      <c r="E571" s="206"/>
      <c r="F571" s="206"/>
      <c r="G571" s="206"/>
      <c r="H571" s="206"/>
      <c r="I571" s="206"/>
      <c r="J571" s="206"/>
    </row>
  </sheetData>
  <sheetProtection/>
  <mergeCells count="120">
    <mergeCell ref="A55:A71"/>
    <mergeCell ref="B55:B71"/>
    <mergeCell ref="C55:C62"/>
    <mergeCell ref="C63:C64"/>
    <mergeCell ref="C65:C71"/>
    <mergeCell ref="A73:A84"/>
    <mergeCell ref="B73:B84"/>
    <mergeCell ref="C73:C80"/>
    <mergeCell ref="C81:C82"/>
    <mergeCell ref="C83:C84"/>
    <mergeCell ref="A86:A113"/>
    <mergeCell ref="B86:B113"/>
    <mergeCell ref="C86:C93"/>
    <mergeCell ref="C94:C113"/>
    <mergeCell ref="A115:A142"/>
    <mergeCell ref="B115:B142"/>
    <mergeCell ref="C115:C122"/>
    <mergeCell ref="C123:C142"/>
    <mergeCell ref="A144:A165"/>
    <mergeCell ref="B144:B165"/>
    <mergeCell ref="C144:C151"/>
    <mergeCell ref="C152:C165"/>
    <mergeCell ref="A231:A241"/>
    <mergeCell ref="B231:B241"/>
    <mergeCell ref="C231:C238"/>
    <mergeCell ref="C239:C241"/>
    <mergeCell ref="A243:A254"/>
    <mergeCell ref="B243:B254"/>
    <mergeCell ref="C243:C250"/>
    <mergeCell ref="C251:C254"/>
    <mergeCell ref="A256:A267"/>
    <mergeCell ref="B256:B267"/>
    <mergeCell ref="C256:C263"/>
    <mergeCell ref="C264:C267"/>
    <mergeCell ref="A513:A524"/>
    <mergeCell ref="B513:B524"/>
    <mergeCell ref="C513:C520"/>
    <mergeCell ref="C521:C524"/>
    <mergeCell ref="A363:A372"/>
    <mergeCell ref="B363:B372"/>
    <mergeCell ref="C363:C370"/>
    <mergeCell ref="C371:C372"/>
    <mergeCell ref="A374:A412"/>
    <mergeCell ref="B374:B412"/>
    <mergeCell ref="C374:C381"/>
    <mergeCell ref="C382:C412"/>
    <mergeCell ref="A414:A432"/>
    <mergeCell ref="B414:B432"/>
    <mergeCell ref="C414:C421"/>
    <mergeCell ref="C422:C432"/>
    <mergeCell ref="A1:Q1"/>
    <mergeCell ref="C2:D2"/>
    <mergeCell ref="A3:A22"/>
    <mergeCell ref="B3:B22"/>
    <mergeCell ref="C3:C10"/>
    <mergeCell ref="C11:C12"/>
    <mergeCell ref="C13:C22"/>
    <mergeCell ref="A24:A53"/>
    <mergeCell ref="B24:B53"/>
    <mergeCell ref="C24:C31"/>
    <mergeCell ref="C32:C53"/>
    <mergeCell ref="A167:A180"/>
    <mergeCell ref="B167:B180"/>
    <mergeCell ref="C167:C174"/>
    <mergeCell ref="C175:C180"/>
    <mergeCell ref="A182:A206"/>
    <mergeCell ref="B182:B206"/>
    <mergeCell ref="C182:C189"/>
    <mergeCell ref="C190:C206"/>
    <mergeCell ref="A208:A229"/>
    <mergeCell ref="B208:B229"/>
    <mergeCell ref="C208:C215"/>
    <mergeCell ref="C216:C218"/>
    <mergeCell ref="C219:C229"/>
    <mergeCell ref="A269:A288"/>
    <mergeCell ref="B269:B288"/>
    <mergeCell ref="C269:C276"/>
    <mergeCell ref="C277:C288"/>
    <mergeCell ref="A290:A305"/>
    <mergeCell ref="B290:B305"/>
    <mergeCell ref="C290:C297"/>
    <mergeCell ref="C298:C305"/>
    <mergeCell ref="A307:A327"/>
    <mergeCell ref="B307:B327"/>
    <mergeCell ref="C307:C314"/>
    <mergeCell ref="C315:C327"/>
    <mergeCell ref="C508:C511"/>
    <mergeCell ref="A329:A343"/>
    <mergeCell ref="B329:B343"/>
    <mergeCell ref="C329:C336"/>
    <mergeCell ref="C337:C343"/>
    <mergeCell ref="A345:A361"/>
    <mergeCell ref="B345:B361"/>
    <mergeCell ref="C345:C352"/>
    <mergeCell ref="C353:C355"/>
    <mergeCell ref="C356:C361"/>
    <mergeCell ref="N569:O569"/>
    <mergeCell ref="A526:A563"/>
    <mergeCell ref="B526:B563"/>
    <mergeCell ref="C526:C533"/>
    <mergeCell ref="C542:C563"/>
    <mergeCell ref="A434:A451"/>
    <mergeCell ref="B434:B451"/>
    <mergeCell ref="C434:C441"/>
    <mergeCell ref="C442:C451"/>
    <mergeCell ref="A453:A467"/>
    <mergeCell ref="B453:B467"/>
    <mergeCell ref="C453:C460"/>
    <mergeCell ref="C461:C467"/>
    <mergeCell ref="A469:A483"/>
    <mergeCell ref="B469:B483"/>
    <mergeCell ref="C469:C476"/>
    <mergeCell ref="C477:C483"/>
    <mergeCell ref="A485:A498"/>
    <mergeCell ref="B485:B498"/>
    <mergeCell ref="C485:C492"/>
    <mergeCell ref="C493:C498"/>
    <mergeCell ref="A500:A511"/>
    <mergeCell ref="B500:B511"/>
    <mergeCell ref="C500:C507"/>
  </mergeCells>
  <printOptions/>
  <pageMargins left="0.7" right="0.7" top="0.75" bottom="0.75" header="0.3" footer="0.3"/>
  <pageSetup orientation="landscape" paperSize="9" scale="25" r:id="rId1"/>
  <rowBreaks count="3" manualBreakCount="3">
    <brk id="84" max="255" man="1"/>
    <brk id="306" max="255" man="1"/>
    <brk id="413" max="255" man="1"/>
  </rowBreaks>
  <colBreaks count="1" manualBreakCount="1">
    <brk id="17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SheetLayoutView="100" zoomScalePageLayoutView="0" workbookViewId="0" topLeftCell="A142">
      <selection activeCell="G170" sqref="G170:H170"/>
    </sheetView>
  </sheetViews>
  <sheetFormatPr defaultColWidth="9.140625" defaultRowHeight="15"/>
  <cols>
    <col min="1" max="1" width="27.7109375" style="1277" bestFit="1" customWidth="1"/>
    <col min="2" max="2" width="23.7109375" style="1277" bestFit="1" customWidth="1"/>
    <col min="3" max="3" width="10.8515625" style="1277" customWidth="1"/>
    <col min="4" max="4" width="14.421875" style="1277" bestFit="1" customWidth="1"/>
    <col min="5" max="5" width="12.57421875" style="1277" bestFit="1" customWidth="1"/>
    <col min="6" max="6" width="15.140625" style="1277" bestFit="1" customWidth="1"/>
    <col min="7" max="7" width="14.00390625" style="1277" bestFit="1" customWidth="1"/>
    <col min="8" max="8" width="18.421875" style="1277" bestFit="1" customWidth="1"/>
    <col min="9" max="16384" width="9.140625" style="1277" customWidth="1"/>
  </cols>
  <sheetData>
    <row r="1" spans="1:8" ht="12">
      <c r="A1" s="2075" t="s">
        <v>1336</v>
      </c>
      <c r="B1" s="2076"/>
      <c r="C1" s="2076"/>
      <c r="D1" s="2076"/>
      <c r="E1" s="2076"/>
      <c r="F1" s="2076"/>
      <c r="G1" s="2076"/>
      <c r="H1" s="2077"/>
    </row>
    <row r="2" spans="1:8" ht="12">
      <c r="A2" s="2078" t="s">
        <v>1287</v>
      </c>
      <c r="B2" s="2078" t="s">
        <v>510</v>
      </c>
      <c r="C2" s="2078" t="s">
        <v>1288</v>
      </c>
      <c r="D2" s="1278" t="s">
        <v>1289</v>
      </c>
      <c r="E2" s="1278" t="s">
        <v>1290</v>
      </c>
      <c r="F2" s="1278" t="s">
        <v>1258</v>
      </c>
      <c r="G2" s="1278" t="s">
        <v>1259</v>
      </c>
      <c r="H2" s="1278" t="s">
        <v>1260</v>
      </c>
    </row>
    <row r="3" spans="1:8" ht="12">
      <c r="A3" s="2079"/>
      <c r="B3" s="2079"/>
      <c r="C3" s="2079"/>
      <c r="D3" s="1278" t="s">
        <v>76</v>
      </c>
      <c r="E3" s="1278" t="s">
        <v>1291</v>
      </c>
      <c r="F3" s="1278" t="s">
        <v>1292</v>
      </c>
      <c r="G3" s="1278" t="s">
        <v>1292</v>
      </c>
      <c r="H3" s="1278" t="s">
        <v>1292</v>
      </c>
    </row>
    <row r="4" spans="1:8" ht="12">
      <c r="A4" s="1279" t="s">
        <v>12</v>
      </c>
      <c r="B4" s="1279" t="s">
        <v>1293</v>
      </c>
      <c r="C4" s="1279" t="s">
        <v>1294</v>
      </c>
      <c r="D4" s="1280">
        <v>137750</v>
      </c>
      <c r="E4" s="1315">
        <f aca="true" t="shared" si="0" ref="E4:E16">F4/D4</f>
        <v>237.22562903811252</v>
      </c>
      <c r="F4" s="1281">
        <v>32677830.4</v>
      </c>
      <c r="G4" s="1281">
        <v>3579659.54</v>
      </c>
      <c r="H4" s="1281">
        <f>SUM(F4:G4)</f>
        <v>36257489.94</v>
      </c>
    </row>
    <row r="5" spans="1:8" ht="12">
      <c r="A5" s="1282" t="s">
        <v>13</v>
      </c>
      <c r="B5" s="1282" t="s">
        <v>1295</v>
      </c>
      <c r="C5" s="1279" t="s">
        <v>1294</v>
      </c>
      <c r="D5" s="1280">
        <v>209736</v>
      </c>
      <c r="E5" s="1315">
        <f t="shared" si="0"/>
        <v>230.34578594042037</v>
      </c>
      <c r="F5" s="1281">
        <v>48311803.760000005</v>
      </c>
      <c r="G5" s="1281">
        <v>8254759.575999998</v>
      </c>
      <c r="H5" s="1281">
        <f>SUM(F5:G5)</f>
        <v>56566563.336</v>
      </c>
    </row>
    <row r="6" spans="1:8" ht="12">
      <c r="A6" s="1282" t="s">
        <v>14</v>
      </c>
      <c r="B6" s="1282" t="s">
        <v>1296</v>
      </c>
      <c r="C6" s="1279" t="s">
        <v>1294</v>
      </c>
      <c r="D6" s="1283">
        <v>165655</v>
      </c>
      <c r="E6" s="1315">
        <f t="shared" si="0"/>
        <v>237.896729045305</v>
      </c>
      <c r="F6" s="1284">
        <v>39408782.65</v>
      </c>
      <c r="G6" s="1284">
        <v>4460104.630000001</v>
      </c>
      <c r="H6" s="1284">
        <v>43868887.28</v>
      </c>
    </row>
    <row r="7" spans="1:8" ht="12">
      <c r="A7" s="1285" t="s">
        <v>15</v>
      </c>
      <c r="B7" s="1282" t="s">
        <v>1297</v>
      </c>
      <c r="C7" s="1279" t="s">
        <v>1294</v>
      </c>
      <c r="D7" s="1283">
        <v>44328</v>
      </c>
      <c r="E7" s="1315">
        <f t="shared" si="0"/>
        <v>209.61700821151416</v>
      </c>
      <c r="F7" s="1284">
        <v>9291902.74</v>
      </c>
      <c r="G7" s="1284">
        <v>276922.348</v>
      </c>
      <c r="H7" s="1284">
        <v>9568825.088</v>
      </c>
    </row>
    <row r="8" spans="1:8" ht="12">
      <c r="A8" s="1285" t="s">
        <v>16</v>
      </c>
      <c r="B8" s="1282" t="s">
        <v>1298</v>
      </c>
      <c r="C8" s="1279" t="s">
        <v>1294</v>
      </c>
      <c r="D8" s="1283">
        <v>76864</v>
      </c>
      <c r="E8" s="1315">
        <f t="shared" si="0"/>
        <v>210.56560756661113</v>
      </c>
      <c r="F8" s="1284">
        <v>16184914.859999998</v>
      </c>
      <c r="G8" s="1284">
        <v>1625918.7719999999</v>
      </c>
      <c r="H8" s="1284">
        <f>SUM(F8:G8)</f>
        <v>17810833.632</v>
      </c>
    </row>
    <row r="9" spans="1:8" ht="12">
      <c r="A9" s="1285" t="s">
        <v>17</v>
      </c>
      <c r="B9" s="1282" t="s">
        <v>1299</v>
      </c>
      <c r="C9" s="1279" t="s">
        <v>1294</v>
      </c>
      <c r="D9" s="1283">
        <v>117973</v>
      </c>
      <c r="E9" s="1315">
        <v>230.84332949064617</v>
      </c>
      <c r="F9" s="1284">
        <v>27233280.11</v>
      </c>
      <c r="G9" s="1284">
        <v>3898089.43</v>
      </c>
      <c r="H9" s="1284">
        <f>SUM(F9:G9)</f>
        <v>31131369.54</v>
      </c>
    </row>
    <row r="10" spans="1:8" ht="12">
      <c r="A10" s="1285" t="s">
        <v>18</v>
      </c>
      <c r="B10" s="1282" t="s">
        <v>1300</v>
      </c>
      <c r="C10" s="1279" t="s">
        <v>1294</v>
      </c>
      <c r="D10" s="1283">
        <v>170381</v>
      </c>
      <c r="E10" s="1315">
        <f>F10/D10</f>
        <v>439.1870669851685</v>
      </c>
      <c r="F10" s="1284">
        <v>74829131.66</v>
      </c>
      <c r="G10" s="1284">
        <v>11657195.260000002</v>
      </c>
      <c r="H10" s="1284">
        <v>86486326.92</v>
      </c>
    </row>
    <row r="11" spans="1:8" ht="12">
      <c r="A11" s="1285" t="s">
        <v>19</v>
      </c>
      <c r="B11" s="1282" t="s">
        <v>1301</v>
      </c>
      <c r="C11" s="1279" t="s">
        <v>1294</v>
      </c>
      <c r="D11" s="1283">
        <v>120030</v>
      </c>
      <c r="E11" s="1315">
        <f>F11/D11</f>
        <v>482.31747046571695</v>
      </c>
      <c r="F11" s="1284">
        <v>57892565.980000004</v>
      </c>
      <c r="G11" s="1284">
        <v>8412719.96</v>
      </c>
      <c r="H11" s="1284">
        <f>SUM(F11:G11)</f>
        <v>66305285.940000005</v>
      </c>
    </row>
    <row r="12" spans="1:8" ht="12">
      <c r="A12" s="1285" t="s">
        <v>20</v>
      </c>
      <c r="B12" s="1282" t="s">
        <v>1302</v>
      </c>
      <c r="C12" s="1279" t="s">
        <v>1294</v>
      </c>
      <c r="D12" s="1283">
        <v>125256</v>
      </c>
      <c r="E12" s="1315">
        <f>F12/D12</f>
        <v>479.2284146068851</v>
      </c>
      <c r="F12" s="1284">
        <v>60026234.300000004</v>
      </c>
      <c r="G12" s="1284">
        <v>7722635.02</v>
      </c>
      <c r="H12" s="1284">
        <f>SUM(F12:G12)</f>
        <v>67748869.32000001</v>
      </c>
    </row>
    <row r="13" spans="1:8" ht="12">
      <c r="A13" s="1285" t="s">
        <v>21</v>
      </c>
      <c r="B13" s="1282" t="s">
        <v>1337</v>
      </c>
      <c r="C13" s="1279" t="s">
        <v>1294</v>
      </c>
      <c r="D13" s="1283">
        <v>144016</v>
      </c>
      <c r="E13" s="1315">
        <f>F13/D13</f>
        <v>339.3511008499055</v>
      </c>
      <c r="F13" s="1284">
        <v>48871988.13999999</v>
      </c>
      <c r="G13" s="1284">
        <v>3573600.348</v>
      </c>
      <c r="H13" s="1284">
        <f>SUM(F13:G13)</f>
        <v>52445588.48799999</v>
      </c>
    </row>
    <row r="14" spans="1:8" ht="12">
      <c r="A14" s="1285" t="s">
        <v>22</v>
      </c>
      <c r="B14" s="1282" t="s">
        <v>1364</v>
      </c>
      <c r="C14" s="1279" t="s">
        <v>1294</v>
      </c>
      <c r="D14" s="1283">
        <v>148973</v>
      </c>
      <c r="E14" s="1315">
        <f>F14/D14</f>
        <v>210.47047699918778</v>
      </c>
      <c r="F14" s="1284">
        <v>31354418.37</v>
      </c>
      <c r="G14" s="1284">
        <v>4288794.264</v>
      </c>
      <c r="H14" s="1284">
        <f>SUM(F14:G14)</f>
        <v>35643212.634</v>
      </c>
    </row>
    <row r="15" spans="1:8" ht="12">
      <c r="A15" s="1285" t="s">
        <v>23</v>
      </c>
      <c r="B15" s="1282" t="s">
        <v>1365</v>
      </c>
      <c r="C15" s="1279" t="s">
        <v>1294</v>
      </c>
      <c r="D15" s="1283">
        <v>0</v>
      </c>
      <c r="E15" s="1316">
        <v>0</v>
      </c>
      <c r="F15" s="1283">
        <v>0</v>
      </c>
      <c r="G15" s="1283">
        <v>0</v>
      </c>
      <c r="H15" s="1283">
        <v>0</v>
      </c>
    </row>
    <row r="16" spans="1:8" ht="12">
      <c r="A16" s="2083" t="s">
        <v>1268</v>
      </c>
      <c r="B16" s="2084"/>
      <c r="C16" s="1286" t="s">
        <v>1294</v>
      </c>
      <c r="D16" s="1287">
        <f>SUM(D4:D15)</f>
        <v>1460962</v>
      </c>
      <c r="E16" s="1317">
        <f t="shared" si="0"/>
        <v>305.33501416874634</v>
      </c>
      <c r="F16" s="1287">
        <f>SUM(F4:F15)</f>
        <v>446082852.96999997</v>
      </c>
      <c r="G16" s="1287">
        <f>SUM(G4:G15)</f>
        <v>57750399.147999994</v>
      </c>
      <c r="H16" s="1287">
        <f>SUM(H4:H15)</f>
        <v>503833252.118</v>
      </c>
    </row>
    <row r="17" spans="1:8" ht="12">
      <c r="A17" s="1288"/>
      <c r="B17" s="1288"/>
      <c r="C17" s="1288"/>
      <c r="D17" s="1289"/>
      <c r="E17" s="1288"/>
      <c r="F17" s="1288"/>
      <c r="G17" s="1288"/>
      <c r="H17" s="1288"/>
    </row>
    <row r="18" spans="1:8" ht="12">
      <c r="A18" s="1288"/>
      <c r="B18" s="1288"/>
      <c r="C18" s="1288"/>
      <c r="D18" s="1289"/>
      <c r="E18" s="1289"/>
      <c r="F18" s="1289"/>
      <c r="G18" s="1289"/>
      <c r="H18" s="1289"/>
    </row>
    <row r="19" spans="1:8" ht="12">
      <c r="A19" s="2085" t="s">
        <v>1253</v>
      </c>
      <c r="B19" s="2085"/>
      <c r="C19" s="2085"/>
      <c r="D19" s="1288"/>
      <c r="E19" s="1288"/>
      <c r="F19" s="1288"/>
      <c r="G19" s="1288"/>
      <c r="H19" s="1288"/>
    </row>
    <row r="20" spans="1:8" ht="12">
      <c r="A20" s="2080" t="s">
        <v>1254</v>
      </c>
      <c r="B20" s="1278" t="s">
        <v>1255</v>
      </c>
      <c r="D20" s="1290" t="s">
        <v>1256</v>
      </c>
      <c r="E20" s="1290" t="s">
        <v>1257</v>
      </c>
      <c r="F20" s="1290" t="s">
        <v>1258</v>
      </c>
      <c r="G20" s="1291" t="s">
        <v>1259</v>
      </c>
      <c r="H20" s="1291" t="s">
        <v>1260</v>
      </c>
    </row>
    <row r="21" spans="1:8" ht="12">
      <c r="A21" s="2081"/>
      <c r="B21" s="1292" t="s">
        <v>1261</v>
      </c>
      <c r="D21" s="540">
        <v>5550</v>
      </c>
      <c r="E21" s="540">
        <f>F21/D21</f>
        <v>246.83724324324322</v>
      </c>
      <c r="F21" s="540">
        <v>1369946.7</v>
      </c>
      <c r="G21" s="1293">
        <v>0</v>
      </c>
      <c r="H21" s="1293">
        <f>F21+G21</f>
        <v>1369946.7</v>
      </c>
    </row>
    <row r="22" spans="1:8" ht="12">
      <c r="A22" s="2081"/>
      <c r="B22" s="1292" t="s">
        <v>1262</v>
      </c>
      <c r="D22" s="540">
        <v>1860</v>
      </c>
      <c r="E22" s="540">
        <f aca="true" t="shared" si="1" ref="E22:E28">F22/D22</f>
        <v>251.1583870967742</v>
      </c>
      <c r="F22" s="540">
        <v>467154.6</v>
      </c>
      <c r="G22" s="1293">
        <f aca="true" t="shared" si="2" ref="G22:G28">F22*20%</f>
        <v>93430.92</v>
      </c>
      <c r="H22" s="1293">
        <f aca="true" t="shared" si="3" ref="H22:H28">F22+G22</f>
        <v>560585.52</v>
      </c>
    </row>
    <row r="23" spans="1:8" ht="12">
      <c r="A23" s="2081"/>
      <c r="B23" s="1292" t="s">
        <v>1263</v>
      </c>
      <c r="D23" s="540">
        <v>44640</v>
      </c>
      <c r="E23" s="540">
        <f t="shared" si="1"/>
        <v>251.0391129032258</v>
      </c>
      <c r="F23" s="540">
        <v>11206386</v>
      </c>
      <c r="G23" s="1293">
        <v>0</v>
      </c>
      <c r="H23" s="1293">
        <f t="shared" si="3"/>
        <v>11206386</v>
      </c>
    </row>
    <row r="24" spans="1:8" ht="12">
      <c r="A24" s="2081"/>
      <c r="B24" s="1294" t="s">
        <v>588</v>
      </c>
      <c r="D24" s="540">
        <v>24820</v>
      </c>
      <c r="E24" s="540">
        <f t="shared" si="1"/>
        <v>236.67123287671234</v>
      </c>
      <c r="F24" s="540">
        <v>5874180</v>
      </c>
      <c r="G24" s="1293">
        <f t="shared" si="2"/>
        <v>1174836</v>
      </c>
      <c r="H24" s="1293">
        <f t="shared" si="3"/>
        <v>7049016</v>
      </c>
    </row>
    <row r="25" spans="1:8" ht="12">
      <c r="A25" s="2081"/>
      <c r="B25" s="1294" t="s">
        <v>1264</v>
      </c>
      <c r="D25" s="540">
        <v>13680</v>
      </c>
      <c r="E25" s="540">
        <f t="shared" si="1"/>
        <v>250.20263157894738</v>
      </c>
      <c r="F25" s="540">
        <v>3422772</v>
      </c>
      <c r="G25" s="1293">
        <f t="shared" si="2"/>
        <v>684554.4</v>
      </c>
      <c r="H25" s="1293">
        <f t="shared" si="3"/>
        <v>4107326.4</v>
      </c>
    </row>
    <row r="26" spans="1:8" ht="12">
      <c r="A26" s="2081"/>
      <c r="B26" s="1292" t="s">
        <v>1265</v>
      </c>
      <c r="D26" s="540">
        <v>33160</v>
      </c>
      <c r="E26" s="540">
        <f t="shared" si="1"/>
        <v>227.40968335343786</v>
      </c>
      <c r="F26" s="540">
        <v>7540905.1</v>
      </c>
      <c r="G26" s="1293">
        <f t="shared" si="2"/>
        <v>1508181.02</v>
      </c>
      <c r="H26" s="1293">
        <f t="shared" si="3"/>
        <v>9049086.12</v>
      </c>
    </row>
    <row r="27" spans="1:8" ht="12">
      <c r="A27" s="2081"/>
      <c r="B27" s="1292" t="s">
        <v>1266</v>
      </c>
      <c r="D27" s="540">
        <v>11340</v>
      </c>
      <c r="E27" s="540">
        <f t="shared" si="1"/>
        <v>194.28571428571428</v>
      </c>
      <c r="F27" s="540">
        <v>2203200</v>
      </c>
      <c r="G27" s="1293">
        <v>0</v>
      </c>
      <c r="H27" s="1293">
        <f t="shared" si="3"/>
        <v>2203200</v>
      </c>
    </row>
    <row r="28" spans="1:8" ht="12">
      <c r="A28" s="2081"/>
      <c r="B28" s="1295" t="s">
        <v>1267</v>
      </c>
      <c r="D28" s="540">
        <v>2700</v>
      </c>
      <c r="E28" s="540">
        <f t="shared" si="1"/>
        <v>219.73555555555555</v>
      </c>
      <c r="F28" s="540">
        <v>593286</v>
      </c>
      <c r="G28" s="1293">
        <f t="shared" si="2"/>
        <v>118657.20000000001</v>
      </c>
      <c r="H28" s="1293">
        <f t="shared" si="3"/>
        <v>711943.2</v>
      </c>
    </row>
    <row r="29" spans="1:8" ht="12">
      <c r="A29" s="2082"/>
      <c r="B29" s="1296" t="s">
        <v>1268</v>
      </c>
      <c r="D29" s="1297">
        <f>SUM(D21:D28)</f>
        <v>137750</v>
      </c>
      <c r="E29" s="1297">
        <f>F29/D29</f>
        <v>237.22562903811252</v>
      </c>
      <c r="F29" s="1297">
        <f>SUM(F21:F28)</f>
        <v>32677830.4</v>
      </c>
      <c r="G29" s="1297">
        <f>SUM(G21:G28)</f>
        <v>3579659.54</v>
      </c>
      <c r="H29" s="1297">
        <f>SUM(H21:H28)</f>
        <v>36257489.94</v>
      </c>
    </row>
    <row r="30" spans="1:2" ht="12">
      <c r="A30" s="1288"/>
      <c r="B30" s="1288"/>
    </row>
    <row r="31" spans="1:8" ht="12">
      <c r="A31" s="2080" t="s">
        <v>1269</v>
      </c>
      <c r="B31" s="1278" t="s">
        <v>1255</v>
      </c>
      <c r="D31" s="1298" t="s">
        <v>1256</v>
      </c>
      <c r="E31" s="1298" t="s">
        <v>1257</v>
      </c>
      <c r="F31" s="1298" t="s">
        <v>1258</v>
      </c>
      <c r="G31" s="1299" t="s">
        <v>1259</v>
      </c>
      <c r="H31" s="1299" t="s">
        <v>1260</v>
      </c>
    </row>
    <row r="32" spans="1:8" ht="12">
      <c r="A32" s="2081"/>
      <c r="B32" s="1300" t="s">
        <v>1270</v>
      </c>
      <c r="D32" s="1301">
        <v>720</v>
      </c>
      <c r="E32" s="1301">
        <v>194.75</v>
      </c>
      <c r="F32" s="1302">
        <v>140220</v>
      </c>
      <c r="G32" s="1302">
        <v>28044</v>
      </c>
      <c r="H32" s="1302">
        <v>168264</v>
      </c>
    </row>
    <row r="33" spans="1:8" ht="12">
      <c r="A33" s="2081"/>
      <c r="B33" s="1300" t="s">
        <v>116</v>
      </c>
      <c r="D33" s="1301">
        <v>17496</v>
      </c>
      <c r="E33" s="1301">
        <v>254.79894375857342</v>
      </c>
      <c r="F33" s="1302">
        <v>4457962.32</v>
      </c>
      <c r="G33" s="1302">
        <v>891592.4640000002</v>
      </c>
      <c r="H33" s="1302">
        <v>5349554.784</v>
      </c>
    </row>
    <row r="34" spans="1:8" ht="12">
      <c r="A34" s="2081"/>
      <c r="B34" s="1300" t="s">
        <v>1262</v>
      </c>
      <c r="D34" s="1301">
        <v>7976</v>
      </c>
      <c r="E34" s="1301">
        <v>205.11982948846537</v>
      </c>
      <c r="F34" s="1302">
        <v>1636035.7599999998</v>
      </c>
      <c r="G34" s="1302">
        <v>327207.152</v>
      </c>
      <c r="H34" s="1302">
        <v>1963242.9119999998</v>
      </c>
    </row>
    <row r="35" spans="1:8" ht="12">
      <c r="A35" s="2081"/>
      <c r="B35" s="1300" t="s">
        <v>588</v>
      </c>
      <c r="D35" s="1301">
        <v>27120</v>
      </c>
      <c r="E35" s="1301">
        <v>226.19823008849556</v>
      </c>
      <c r="F35" s="1302">
        <v>6134496</v>
      </c>
      <c r="G35" s="1302">
        <v>1226899.2</v>
      </c>
      <c r="H35" s="1302">
        <v>7361395.2</v>
      </c>
    </row>
    <row r="36" spans="1:8" ht="12">
      <c r="A36" s="2081"/>
      <c r="B36" s="1300" t="s">
        <v>1271</v>
      </c>
      <c r="D36" s="1301">
        <v>1680</v>
      </c>
      <c r="E36" s="1301">
        <v>209.87000000000003</v>
      </c>
      <c r="F36" s="1302">
        <v>352581.60000000003</v>
      </c>
      <c r="G36" s="1302">
        <v>70516.32</v>
      </c>
      <c r="H36" s="1302">
        <v>423097.92000000004</v>
      </c>
    </row>
    <row r="37" spans="1:8" ht="12">
      <c r="A37" s="2081"/>
      <c r="B37" s="1300" t="s">
        <v>1264</v>
      </c>
      <c r="D37" s="1301">
        <v>19800</v>
      </c>
      <c r="E37" s="1301">
        <v>246.57830303030306</v>
      </c>
      <c r="F37" s="1302">
        <v>4882250.4</v>
      </c>
      <c r="G37" s="1302">
        <v>976450.0800000001</v>
      </c>
      <c r="H37" s="1302">
        <v>5858700.48</v>
      </c>
    </row>
    <row r="38" spans="1:8" ht="12">
      <c r="A38" s="2081"/>
      <c r="B38" s="1300" t="s">
        <v>1265</v>
      </c>
      <c r="D38" s="1301">
        <v>66040</v>
      </c>
      <c r="E38" s="1301">
        <v>230.61653543307088</v>
      </c>
      <c r="F38" s="1302">
        <v>15229916</v>
      </c>
      <c r="G38" s="1302">
        <v>3045983.2</v>
      </c>
      <c r="H38" s="1302">
        <v>18275899.2</v>
      </c>
    </row>
    <row r="39" spans="1:8" ht="12">
      <c r="A39" s="2081"/>
      <c r="B39" s="1300" t="s">
        <v>1272</v>
      </c>
      <c r="D39" s="1301">
        <v>7990</v>
      </c>
      <c r="E39" s="1301">
        <v>229.96026282853566</v>
      </c>
      <c r="F39" s="1302">
        <v>1837382.5</v>
      </c>
      <c r="G39" s="1302">
        <v>367476.5</v>
      </c>
      <c r="H39" s="1302">
        <v>2204859</v>
      </c>
    </row>
    <row r="40" spans="1:8" ht="12">
      <c r="A40" s="2081"/>
      <c r="B40" s="1300" t="s">
        <v>125</v>
      </c>
      <c r="D40" s="1301">
        <v>16800</v>
      </c>
      <c r="E40" s="1301">
        <v>256.95</v>
      </c>
      <c r="F40" s="1302">
        <v>4316760</v>
      </c>
      <c r="G40" s="1302">
        <v>863352</v>
      </c>
      <c r="H40" s="1302">
        <v>5180112</v>
      </c>
    </row>
    <row r="41" spans="1:8" ht="12">
      <c r="A41" s="2081"/>
      <c r="B41" s="1300" t="s">
        <v>1267</v>
      </c>
      <c r="D41" s="1301">
        <v>2220</v>
      </c>
      <c r="E41" s="1301">
        <v>225.53837837837835</v>
      </c>
      <c r="F41" s="1302">
        <v>500695.19999999995</v>
      </c>
      <c r="G41" s="1302">
        <v>100139.04</v>
      </c>
      <c r="H41" s="1302">
        <v>600834.24</v>
      </c>
    </row>
    <row r="42" spans="1:8" ht="12">
      <c r="A42" s="2081"/>
      <c r="B42" s="1300" t="s">
        <v>1273</v>
      </c>
      <c r="D42" s="1301">
        <v>7982</v>
      </c>
      <c r="E42" s="1301">
        <v>223.69056627411678</v>
      </c>
      <c r="F42" s="1302">
        <v>1785498.1</v>
      </c>
      <c r="G42" s="1302">
        <v>357099.62000000005</v>
      </c>
      <c r="H42" s="1302">
        <v>2142597.72</v>
      </c>
    </row>
    <row r="43" spans="1:8" ht="12">
      <c r="A43" s="2081"/>
      <c r="B43" s="1300" t="s">
        <v>1261</v>
      </c>
      <c r="D43" s="1301">
        <v>1680</v>
      </c>
      <c r="E43" s="1301">
        <v>234.76</v>
      </c>
      <c r="F43" s="1302">
        <v>394396.8</v>
      </c>
      <c r="G43" s="1302">
        <v>0</v>
      </c>
      <c r="H43" s="1302">
        <v>394396.8</v>
      </c>
    </row>
    <row r="44" spans="1:8" ht="12">
      <c r="A44" s="2081"/>
      <c r="B44" s="1300" t="s">
        <v>1263</v>
      </c>
      <c r="D44" s="1301">
        <v>32232</v>
      </c>
      <c r="E44" s="1301">
        <v>206.11842516753538</v>
      </c>
      <c r="F44" s="1302">
        <v>6643609.08</v>
      </c>
      <c r="G44" s="1302">
        <v>0</v>
      </c>
      <c r="H44" s="1302">
        <v>6643609.08</v>
      </c>
    </row>
    <row r="45" spans="1:8" ht="12">
      <c r="A45" s="2082"/>
      <c r="B45" s="1296" t="s">
        <v>1268</v>
      </c>
      <c r="D45" s="1297">
        <f>SUM(D32:D44)</f>
        <v>209736</v>
      </c>
      <c r="E45" s="1297">
        <f>F45/D45</f>
        <v>230.34578594042034</v>
      </c>
      <c r="F45" s="1297">
        <f>SUM(F32:F44)</f>
        <v>48311803.76</v>
      </c>
      <c r="G45" s="1297">
        <f>SUM(G32:G44)</f>
        <v>8254759.576</v>
      </c>
      <c r="H45" s="1297">
        <f>SUM(H32:H44)</f>
        <v>56566563.335999995</v>
      </c>
    </row>
    <row r="46" spans="1:2" ht="12">
      <c r="A46" s="1288"/>
      <c r="B46" s="1288"/>
    </row>
    <row r="47" spans="1:8" ht="12">
      <c r="A47" s="2080" t="s">
        <v>1274</v>
      </c>
      <c r="B47" s="1278" t="s">
        <v>1255</v>
      </c>
      <c r="D47" s="1298" t="s">
        <v>1256</v>
      </c>
      <c r="E47" s="1298" t="s">
        <v>1257</v>
      </c>
      <c r="F47" s="1298" t="s">
        <v>1258</v>
      </c>
      <c r="G47" s="1299" t="s">
        <v>1259</v>
      </c>
      <c r="H47" s="1299" t="s">
        <v>1260</v>
      </c>
    </row>
    <row r="48" spans="1:8" ht="12">
      <c r="A48" s="2081"/>
      <c r="B48" s="1303" t="s">
        <v>1270</v>
      </c>
      <c r="D48" s="540">
        <v>540</v>
      </c>
      <c r="E48" s="540">
        <v>287.41</v>
      </c>
      <c r="F48" s="1293">
        <v>155201.40000000002</v>
      </c>
      <c r="G48" s="1293">
        <f>F48*20%</f>
        <v>31040.280000000006</v>
      </c>
      <c r="H48" s="1293">
        <f>F48+G48</f>
        <v>186241.68000000002</v>
      </c>
    </row>
    <row r="49" spans="1:8" ht="12">
      <c r="A49" s="2081"/>
      <c r="B49" s="1303" t="s">
        <v>116</v>
      </c>
      <c r="D49" s="540">
        <v>5650</v>
      </c>
      <c r="E49" s="540">
        <v>276.9602654867257</v>
      </c>
      <c r="F49" s="1293">
        <v>1564825.5</v>
      </c>
      <c r="G49" s="1293">
        <f>F49*20%</f>
        <v>312965.10000000003</v>
      </c>
      <c r="H49" s="1293">
        <f aca="true" t="shared" si="4" ref="H49:H60">F49+G49</f>
        <v>1877790.6</v>
      </c>
    </row>
    <row r="50" spans="1:8" ht="12">
      <c r="A50" s="2081"/>
      <c r="B50" s="1303" t="s">
        <v>1261</v>
      </c>
      <c r="D50" s="540">
        <v>2270</v>
      </c>
      <c r="E50" s="540">
        <v>291.05440528634364</v>
      </c>
      <c r="F50" s="1293">
        <v>660693.5</v>
      </c>
      <c r="G50" s="1293">
        <v>0</v>
      </c>
      <c r="H50" s="1293">
        <f t="shared" si="4"/>
        <v>660693.5</v>
      </c>
    </row>
    <row r="51" spans="1:8" ht="12">
      <c r="A51" s="2081"/>
      <c r="B51" s="1303" t="s">
        <v>1262</v>
      </c>
      <c r="D51" s="540">
        <v>4100</v>
      </c>
      <c r="E51" s="540">
        <v>262.17756097560977</v>
      </c>
      <c r="F51" s="1293">
        <v>1074928</v>
      </c>
      <c r="G51" s="1293">
        <f>F51*20%</f>
        <v>214985.6</v>
      </c>
      <c r="H51" s="1293">
        <f t="shared" si="4"/>
        <v>1289913.6</v>
      </c>
    </row>
    <row r="52" spans="1:8" ht="12">
      <c r="A52" s="2081"/>
      <c r="B52" s="1303" t="s">
        <v>1263</v>
      </c>
      <c r="D52" s="540">
        <v>74300</v>
      </c>
      <c r="E52" s="540">
        <v>218.22</v>
      </c>
      <c r="F52" s="1293">
        <v>16213746</v>
      </c>
      <c r="G52" s="1293">
        <v>0</v>
      </c>
      <c r="H52" s="1293">
        <f t="shared" si="4"/>
        <v>16213746</v>
      </c>
    </row>
    <row r="53" spans="1:8" ht="12">
      <c r="A53" s="2081"/>
      <c r="B53" s="1303" t="s">
        <v>1264</v>
      </c>
      <c r="D53" s="540">
        <v>4205</v>
      </c>
      <c r="E53" s="540">
        <v>288.22526753864446</v>
      </c>
      <c r="F53" s="1293">
        <v>1211987.25</v>
      </c>
      <c r="G53" s="1293">
        <f aca="true" t="shared" si="5" ref="G53:G60">F53*20%</f>
        <v>242397.45</v>
      </c>
      <c r="H53" s="1293">
        <f t="shared" si="4"/>
        <v>1454384.7</v>
      </c>
    </row>
    <row r="54" spans="1:8" ht="12">
      <c r="A54" s="2081"/>
      <c r="B54" s="1303" t="s">
        <v>1265</v>
      </c>
      <c r="D54" s="540">
        <v>12420</v>
      </c>
      <c r="E54" s="540">
        <v>279.48439613526574</v>
      </c>
      <c r="F54" s="1293">
        <v>3471196.2</v>
      </c>
      <c r="G54" s="1293">
        <f t="shared" si="5"/>
        <v>694239.2400000001</v>
      </c>
      <c r="H54" s="1293">
        <f t="shared" si="4"/>
        <v>4165435.4400000004</v>
      </c>
    </row>
    <row r="55" spans="1:8" ht="12">
      <c r="A55" s="2081"/>
      <c r="B55" s="1303" t="s">
        <v>1266</v>
      </c>
      <c r="D55" s="540">
        <v>300</v>
      </c>
      <c r="E55" s="540">
        <v>275</v>
      </c>
      <c r="F55" s="1293">
        <v>82500</v>
      </c>
      <c r="G55" s="1293">
        <v>0</v>
      </c>
      <c r="H55" s="1293">
        <f>F55+G55</f>
        <v>82500</v>
      </c>
    </row>
    <row r="56" spans="1:8" ht="12">
      <c r="A56" s="2081"/>
      <c r="B56" s="1303" t="s">
        <v>1272</v>
      </c>
      <c r="D56" s="540">
        <v>45140</v>
      </c>
      <c r="E56" s="540">
        <v>231.12298626495348</v>
      </c>
      <c r="F56" s="1293">
        <v>10432891.6</v>
      </c>
      <c r="G56" s="1293">
        <f t="shared" si="5"/>
        <v>2086578.32</v>
      </c>
      <c r="H56" s="1293">
        <f t="shared" si="4"/>
        <v>12519469.92</v>
      </c>
    </row>
    <row r="57" spans="1:8" ht="12">
      <c r="A57" s="2081"/>
      <c r="B57" s="1303" t="s">
        <v>1275</v>
      </c>
      <c r="D57" s="540">
        <v>720</v>
      </c>
      <c r="E57" s="540">
        <v>210.16666666666666</v>
      </c>
      <c r="F57" s="1293">
        <v>151320</v>
      </c>
      <c r="G57" s="1293">
        <v>0</v>
      </c>
      <c r="H57" s="1293">
        <f>F57+G57</f>
        <v>151320</v>
      </c>
    </row>
    <row r="58" spans="1:8" ht="12">
      <c r="A58" s="2081"/>
      <c r="B58" s="1303" t="s">
        <v>125</v>
      </c>
      <c r="D58" s="540">
        <v>1680</v>
      </c>
      <c r="E58" s="540">
        <v>280.82142857142856</v>
      </c>
      <c r="F58" s="1293">
        <v>471780</v>
      </c>
      <c r="G58" s="1293">
        <f t="shared" si="5"/>
        <v>94356</v>
      </c>
      <c r="H58" s="1293">
        <f t="shared" si="4"/>
        <v>566136</v>
      </c>
    </row>
    <row r="59" spans="1:8" ht="12">
      <c r="A59" s="2081"/>
      <c r="B59" s="1303" t="s">
        <v>1267</v>
      </c>
      <c r="D59" s="540">
        <v>2130</v>
      </c>
      <c r="E59" s="540">
        <v>288.4805633802817</v>
      </c>
      <c r="F59" s="1293">
        <v>614463.6</v>
      </c>
      <c r="G59" s="1293">
        <f t="shared" si="5"/>
        <v>122892.72</v>
      </c>
      <c r="H59" s="1293">
        <f t="shared" si="4"/>
        <v>737356.32</v>
      </c>
    </row>
    <row r="60" spans="1:8" ht="12">
      <c r="A60" s="2081"/>
      <c r="B60" s="1303" t="s">
        <v>1273</v>
      </c>
      <c r="D60" s="540">
        <v>12200</v>
      </c>
      <c r="E60" s="540">
        <v>270.75816393442625</v>
      </c>
      <c r="F60" s="1293">
        <v>3303249.6</v>
      </c>
      <c r="G60" s="1293">
        <f t="shared" si="5"/>
        <v>660649.92</v>
      </c>
      <c r="H60" s="1293">
        <f t="shared" si="4"/>
        <v>3963899.52</v>
      </c>
    </row>
    <row r="61" spans="1:8" ht="12">
      <c r="A61" s="2082"/>
      <c r="B61" s="1296" t="s">
        <v>1268</v>
      </c>
      <c r="D61" s="1297">
        <f>SUM(D48:D60)</f>
        <v>165655</v>
      </c>
      <c r="E61" s="1297">
        <f>F61/D61</f>
        <v>237.896729045305</v>
      </c>
      <c r="F61" s="1297">
        <f>SUM(F48:F60)</f>
        <v>39408782.65</v>
      </c>
      <c r="G61" s="1297">
        <f>SUM(G48:G60)</f>
        <v>4460104.630000001</v>
      </c>
      <c r="H61" s="1297">
        <f>SUM(H48:H60)</f>
        <v>43868887.28</v>
      </c>
    </row>
    <row r="62" spans="1:2" ht="12">
      <c r="A62" s="1288"/>
      <c r="B62" s="1288"/>
    </row>
    <row r="63" spans="1:2" ht="12">
      <c r="A63" s="1288"/>
      <c r="B63" s="1288"/>
    </row>
    <row r="64" spans="1:8" ht="12">
      <c r="A64" s="2080" t="s">
        <v>1276</v>
      </c>
      <c r="B64" s="1278" t="s">
        <v>1255</v>
      </c>
      <c r="D64" s="1298" t="s">
        <v>1256</v>
      </c>
      <c r="E64" s="1298" t="s">
        <v>1257</v>
      </c>
      <c r="F64" s="1298" t="s">
        <v>1258</v>
      </c>
      <c r="G64" s="1299" t="s">
        <v>1259</v>
      </c>
      <c r="H64" s="1299" t="s">
        <v>1260</v>
      </c>
    </row>
    <row r="65" spans="1:8" ht="12">
      <c r="A65" s="2081"/>
      <c r="B65" s="1303" t="s">
        <v>1277</v>
      </c>
      <c r="D65" s="540">
        <v>39.99999999999999</v>
      </c>
      <c r="E65" s="1293">
        <v>159.87</v>
      </c>
      <c r="F65" s="1293">
        <v>6394.799999999999</v>
      </c>
      <c r="G65" s="1293">
        <f>F65*20%</f>
        <v>1278.96</v>
      </c>
      <c r="H65" s="1293">
        <f>F65+G65</f>
        <v>7673.759999999999</v>
      </c>
    </row>
    <row r="66" spans="1:8" ht="12">
      <c r="A66" s="2081"/>
      <c r="B66" s="1303" t="s">
        <v>116</v>
      </c>
      <c r="D66" s="540">
        <v>630</v>
      </c>
      <c r="E66" s="1293">
        <v>237.52</v>
      </c>
      <c r="F66" s="1293">
        <v>149637.6</v>
      </c>
      <c r="G66" s="1293">
        <f>F66*20%</f>
        <v>29927.520000000004</v>
      </c>
      <c r="H66" s="1293">
        <f aca="true" t="shared" si="6" ref="H66:H71">F66+G66</f>
        <v>179565.12</v>
      </c>
    </row>
    <row r="67" spans="1:8" ht="12">
      <c r="A67" s="2081"/>
      <c r="B67" s="1303" t="s">
        <v>1262</v>
      </c>
      <c r="D67" s="540">
        <v>2050</v>
      </c>
      <c r="E67" s="1293">
        <v>236.10523902439024</v>
      </c>
      <c r="F67" s="1293">
        <v>484015.74</v>
      </c>
      <c r="G67" s="1293">
        <f>F67*20%</f>
        <v>96803.148</v>
      </c>
      <c r="H67" s="1293">
        <f t="shared" si="6"/>
        <v>580818.888</v>
      </c>
    </row>
    <row r="68" spans="1:8" ht="12">
      <c r="A68" s="2081"/>
      <c r="B68" s="1303" t="s">
        <v>1263</v>
      </c>
      <c r="D68" s="540">
        <v>36000</v>
      </c>
      <c r="E68" s="1293">
        <v>212.12</v>
      </c>
      <c r="F68" s="1293">
        <v>7636320</v>
      </c>
      <c r="G68" s="1293">
        <v>0</v>
      </c>
      <c r="H68" s="1293">
        <f t="shared" si="6"/>
        <v>7636320</v>
      </c>
    </row>
    <row r="69" spans="1:8" ht="12">
      <c r="A69" s="2081"/>
      <c r="B69" s="1303" t="s">
        <v>1265</v>
      </c>
      <c r="D69" s="540">
        <v>1460</v>
      </c>
      <c r="E69" s="1293">
        <v>175.19109589041096</v>
      </c>
      <c r="F69" s="1293">
        <v>255779</v>
      </c>
      <c r="G69" s="1293">
        <f>F69*20%</f>
        <v>51155.8</v>
      </c>
      <c r="H69" s="1293">
        <f t="shared" si="6"/>
        <v>306934.8</v>
      </c>
    </row>
    <row r="70" spans="1:8" ht="12">
      <c r="A70" s="2081"/>
      <c r="B70" s="1303" t="s">
        <v>1266</v>
      </c>
      <c r="D70" s="540">
        <v>1850</v>
      </c>
      <c r="E70" s="1293">
        <v>146.4708108108108</v>
      </c>
      <c r="F70" s="1293">
        <v>270971</v>
      </c>
      <c r="G70" s="1293">
        <v>0</v>
      </c>
      <c r="H70" s="1293">
        <f t="shared" si="6"/>
        <v>270971</v>
      </c>
    </row>
    <row r="71" spans="1:8" ht="12">
      <c r="A71" s="2081"/>
      <c r="B71" s="1303" t="s">
        <v>125</v>
      </c>
      <c r="D71" s="540">
        <v>540</v>
      </c>
      <c r="E71" s="1293">
        <v>187</v>
      </c>
      <c r="F71" s="1293">
        <v>100980</v>
      </c>
      <c r="G71" s="1293">
        <f>F71*20%</f>
        <v>20196</v>
      </c>
      <c r="H71" s="1293">
        <f t="shared" si="6"/>
        <v>121176</v>
      </c>
    </row>
    <row r="72" spans="1:8" ht="12">
      <c r="A72" s="2081"/>
      <c r="B72" s="1303" t="s">
        <v>1267</v>
      </c>
      <c r="D72" s="540">
        <v>270</v>
      </c>
      <c r="E72" s="1293">
        <v>193.64666666666668</v>
      </c>
      <c r="F72" s="1293">
        <v>52284.6</v>
      </c>
      <c r="G72" s="1293">
        <f>F72*20%</f>
        <v>10456.92</v>
      </c>
      <c r="H72" s="1293">
        <f>F72+G72</f>
        <v>62741.52</v>
      </c>
    </row>
    <row r="73" spans="1:8" ht="12">
      <c r="A73" s="2081"/>
      <c r="B73" s="1303" t="s">
        <v>1273</v>
      </c>
      <c r="D73" s="540">
        <v>1488</v>
      </c>
      <c r="E73" s="1293">
        <v>225.48387096774192</v>
      </c>
      <c r="F73" s="1293">
        <v>335520</v>
      </c>
      <c r="G73" s="1293">
        <f>F73*20%</f>
        <v>67104</v>
      </c>
      <c r="H73" s="1293">
        <f>F73+G73</f>
        <v>402624</v>
      </c>
    </row>
    <row r="74" spans="1:8" ht="12">
      <c r="A74" s="2082"/>
      <c r="B74" s="1296" t="s">
        <v>1268</v>
      </c>
      <c r="D74" s="1297">
        <f>SUM(D65:D73)</f>
        <v>44328</v>
      </c>
      <c r="E74" s="1297">
        <f>F74/D74</f>
        <v>209.61700821151416</v>
      </c>
      <c r="F74" s="1297">
        <f>SUM(F65:F73)</f>
        <v>9291902.74</v>
      </c>
      <c r="G74" s="1297">
        <f>SUM(G65:G73)</f>
        <v>276922.348</v>
      </c>
      <c r="H74" s="1297">
        <f>SUM(H65:H73)</f>
        <v>9568825.088</v>
      </c>
    </row>
    <row r="75" spans="1:2" ht="12">
      <c r="A75" s="1288"/>
      <c r="B75" s="1288"/>
    </row>
    <row r="76" spans="1:2" ht="12">
      <c r="A76" s="1288"/>
      <c r="B76" s="1288"/>
    </row>
    <row r="77" spans="1:8" ht="12">
      <c r="A77" s="2080" t="s">
        <v>1278</v>
      </c>
      <c r="B77" s="1278" t="s">
        <v>1255</v>
      </c>
      <c r="D77" s="1298" t="s">
        <v>1256</v>
      </c>
      <c r="E77" s="1298" t="s">
        <v>1257</v>
      </c>
      <c r="F77" s="1298" t="s">
        <v>1258</v>
      </c>
      <c r="G77" s="1299" t="s">
        <v>1259</v>
      </c>
      <c r="H77" s="1299" t="s">
        <v>1260</v>
      </c>
    </row>
    <row r="78" spans="1:8" ht="12">
      <c r="A78" s="2081"/>
      <c r="B78" s="1292" t="s">
        <v>1277</v>
      </c>
      <c r="D78" s="540">
        <v>1775</v>
      </c>
      <c r="E78" s="1293">
        <v>207.49267605633804</v>
      </c>
      <c r="F78" s="1293">
        <v>368299.5</v>
      </c>
      <c r="G78" s="1293">
        <f>F78*20%</f>
        <v>73659.90000000001</v>
      </c>
      <c r="H78" s="1293">
        <f>F78+G78</f>
        <v>441959.4</v>
      </c>
    </row>
    <row r="79" spans="1:8" ht="12">
      <c r="A79" s="2081"/>
      <c r="B79" s="1292" t="s">
        <v>116</v>
      </c>
      <c r="D79" s="540">
        <v>3744</v>
      </c>
      <c r="E79" s="1293">
        <v>224.67</v>
      </c>
      <c r="F79" s="1293">
        <v>841164.48</v>
      </c>
      <c r="G79" s="1293">
        <f>F79*20%</f>
        <v>168232.896</v>
      </c>
      <c r="H79" s="1293">
        <f aca="true" t="shared" si="7" ref="H79:H84">F79+G79</f>
        <v>1009397.3759999999</v>
      </c>
    </row>
    <row r="80" spans="1:8" ht="12">
      <c r="A80" s="2081"/>
      <c r="B80" s="1292" t="s">
        <v>1263</v>
      </c>
      <c r="D80" s="540">
        <v>37200</v>
      </c>
      <c r="E80" s="1293">
        <v>212.12</v>
      </c>
      <c r="F80" s="1293">
        <v>7890864</v>
      </c>
      <c r="G80" s="1293">
        <v>0</v>
      </c>
      <c r="H80" s="1293">
        <f t="shared" si="7"/>
        <v>7890864</v>
      </c>
    </row>
    <row r="81" spans="1:8" ht="12">
      <c r="A81" s="2081"/>
      <c r="B81" s="1292" t="s">
        <v>1279</v>
      </c>
      <c r="D81" s="540">
        <v>7550</v>
      </c>
      <c r="E81" s="1293">
        <v>223.97735099337748</v>
      </c>
      <c r="F81" s="1293">
        <v>1691029</v>
      </c>
      <c r="G81" s="1293">
        <f>F81*20%</f>
        <v>338205.80000000005</v>
      </c>
      <c r="H81" s="1293">
        <f t="shared" si="7"/>
        <v>2029234.8</v>
      </c>
    </row>
    <row r="82" spans="1:8" ht="12">
      <c r="A82" s="2081"/>
      <c r="B82" s="1292" t="s">
        <v>1265</v>
      </c>
      <c r="D82" s="540">
        <v>7434</v>
      </c>
      <c r="E82" s="1293">
        <v>196.6208474576271</v>
      </c>
      <c r="F82" s="1293">
        <v>1461679.38</v>
      </c>
      <c r="G82" s="1293">
        <f>F82*20%</f>
        <v>292335.876</v>
      </c>
      <c r="H82" s="1293">
        <f t="shared" si="7"/>
        <v>1754015.2559999998</v>
      </c>
    </row>
    <row r="83" spans="1:8" ht="12">
      <c r="A83" s="2081"/>
      <c r="B83" s="1295" t="s">
        <v>1266</v>
      </c>
      <c r="D83" s="540">
        <v>825</v>
      </c>
      <c r="E83" s="1293">
        <v>199.34181818181818</v>
      </c>
      <c r="F83" s="1293">
        <v>164457</v>
      </c>
      <c r="G83" s="1293">
        <v>0</v>
      </c>
      <c r="H83" s="1293">
        <f t="shared" si="7"/>
        <v>164457</v>
      </c>
    </row>
    <row r="84" spans="1:8" ht="12">
      <c r="A84" s="2081"/>
      <c r="B84" s="1295" t="s">
        <v>1272</v>
      </c>
      <c r="D84" s="540">
        <v>6496</v>
      </c>
      <c r="E84" s="1293">
        <v>200.57758620689654</v>
      </c>
      <c r="F84" s="1293">
        <v>1302952</v>
      </c>
      <c r="G84" s="1293">
        <f>F84*20%</f>
        <v>260590.40000000002</v>
      </c>
      <c r="H84" s="1293">
        <f t="shared" si="7"/>
        <v>1563542.4</v>
      </c>
    </row>
    <row r="85" spans="1:8" ht="12">
      <c r="A85" s="2081"/>
      <c r="B85" s="1295" t="s">
        <v>125</v>
      </c>
      <c r="D85" s="1301">
        <v>4320</v>
      </c>
      <c r="E85" s="1293">
        <v>227.5</v>
      </c>
      <c r="F85" s="1293">
        <v>982800</v>
      </c>
      <c r="G85" s="1293">
        <f>F85*20%</f>
        <v>196560</v>
      </c>
      <c r="H85" s="1293">
        <f>F85+G85</f>
        <v>1179360</v>
      </c>
    </row>
    <row r="86" spans="1:8" ht="12">
      <c r="A86" s="2081"/>
      <c r="B86" s="1292" t="s">
        <v>1267</v>
      </c>
      <c r="D86" s="540">
        <v>870</v>
      </c>
      <c r="E86" s="1293">
        <v>197.26379310344828</v>
      </c>
      <c r="F86" s="1293">
        <v>171619.5</v>
      </c>
      <c r="G86" s="1293">
        <f>F86*20%</f>
        <v>34323.9</v>
      </c>
      <c r="H86" s="1293">
        <f>F86+G86</f>
        <v>205943.4</v>
      </c>
    </row>
    <row r="87" spans="1:8" ht="12">
      <c r="A87" s="2081"/>
      <c r="B87" s="1295" t="s">
        <v>1273</v>
      </c>
      <c r="D87" s="540">
        <v>6650</v>
      </c>
      <c r="E87" s="1293">
        <v>197</v>
      </c>
      <c r="F87" s="1293">
        <v>1310050</v>
      </c>
      <c r="G87" s="1293">
        <f>F87*20%</f>
        <v>262010</v>
      </c>
      <c r="H87" s="1293">
        <f>F87+G87</f>
        <v>1572060</v>
      </c>
    </row>
    <row r="88" spans="1:8" ht="12">
      <c r="A88" s="2082"/>
      <c r="B88" s="1296" t="s">
        <v>1268</v>
      </c>
      <c r="D88" s="1297">
        <f>SUM(D78:D87)</f>
        <v>76864</v>
      </c>
      <c r="E88" s="1297">
        <f>F88/D88</f>
        <v>210.56560756661116</v>
      </c>
      <c r="F88" s="1297">
        <f>SUM(F78:F87)</f>
        <v>16184914.86</v>
      </c>
      <c r="G88" s="1297">
        <f>SUM(G78:G87)</f>
        <v>1625918.7719999999</v>
      </c>
      <c r="H88" s="1297">
        <f>SUM(H78:H87)</f>
        <v>17810833.632</v>
      </c>
    </row>
    <row r="89" spans="1:2" ht="12">
      <c r="A89" s="1288"/>
      <c r="B89" s="1288"/>
    </row>
    <row r="90" spans="1:2" ht="12">
      <c r="A90" s="1288"/>
      <c r="B90" s="1288"/>
    </row>
    <row r="91" spans="1:8" ht="12">
      <c r="A91" s="2080" t="s">
        <v>1280</v>
      </c>
      <c r="B91" s="1278" t="s">
        <v>1255</v>
      </c>
      <c r="D91" s="1298" t="s">
        <v>1256</v>
      </c>
      <c r="E91" s="1298" t="s">
        <v>1257</v>
      </c>
      <c r="F91" s="1298" t="s">
        <v>1258</v>
      </c>
      <c r="G91" s="1299" t="s">
        <v>1259</v>
      </c>
      <c r="H91" s="1299" t="s">
        <v>1260</v>
      </c>
    </row>
    <row r="92" spans="1:8" ht="12">
      <c r="A92" s="2081"/>
      <c r="B92" s="1292" t="s">
        <v>1277</v>
      </c>
      <c r="D92" s="1304">
        <v>540</v>
      </c>
      <c r="E92" s="1304">
        <v>208.15</v>
      </c>
      <c r="F92" s="1305">
        <v>112401</v>
      </c>
      <c r="G92" s="1293">
        <f>F92*0.2</f>
        <v>22480.2</v>
      </c>
      <c r="H92" s="1293">
        <f>F92+G92</f>
        <v>134881.2</v>
      </c>
    </row>
    <row r="93" spans="1:8" ht="12">
      <c r="A93" s="2081"/>
      <c r="B93" s="1292" t="s">
        <v>116</v>
      </c>
      <c r="D93" s="1304">
        <v>1490</v>
      </c>
      <c r="E93" s="1304">
        <v>231.37728187919464</v>
      </c>
      <c r="F93" s="1305">
        <v>344752.15</v>
      </c>
      <c r="G93" s="1293">
        <f>F93*0.2</f>
        <v>68950.43000000001</v>
      </c>
      <c r="H93" s="1293">
        <f aca="true" t="shared" si="8" ref="H93:H98">F93+G93</f>
        <v>413702.58</v>
      </c>
    </row>
    <row r="94" spans="1:8" ht="12">
      <c r="A94" s="2081"/>
      <c r="B94" s="1292" t="s">
        <v>1263</v>
      </c>
      <c r="D94" s="1304">
        <v>36000</v>
      </c>
      <c r="E94" s="1304">
        <v>212.12</v>
      </c>
      <c r="F94" s="1305">
        <v>7636320</v>
      </c>
      <c r="G94" s="1293">
        <v>0</v>
      </c>
      <c r="H94" s="1293">
        <f t="shared" si="8"/>
        <v>7636320</v>
      </c>
    </row>
    <row r="95" spans="1:8" ht="12">
      <c r="A95" s="2081"/>
      <c r="B95" s="1292" t="s">
        <v>1281</v>
      </c>
      <c r="D95" s="1304">
        <v>528</v>
      </c>
      <c r="E95" s="1304">
        <v>201.7290909090909</v>
      </c>
      <c r="F95" s="1305">
        <v>106512.95999999999</v>
      </c>
      <c r="G95" s="1293">
        <v>0</v>
      </c>
      <c r="H95" s="1293">
        <f t="shared" si="8"/>
        <v>106512.95999999999</v>
      </c>
    </row>
    <row r="96" spans="1:8" ht="12">
      <c r="A96" s="2081"/>
      <c r="B96" s="1292" t="s">
        <v>1279</v>
      </c>
      <c r="D96" s="1304">
        <v>7200</v>
      </c>
      <c r="E96" s="1304">
        <v>233.58200000000002</v>
      </c>
      <c r="F96" s="1305">
        <v>1681790.4000000001</v>
      </c>
      <c r="G96" s="1293">
        <f aca="true" t="shared" si="9" ref="G96:G101">F96*0.2</f>
        <v>336358.0800000001</v>
      </c>
      <c r="H96" s="1293">
        <f t="shared" si="8"/>
        <v>2018148.4800000002</v>
      </c>
    </row>
    <row r="97" spans="1:8" ht="12">
      <c r="A97" s="2081"/>
      <c r="B97" s="1292" t="s">
        <v>1265</v>
      </c>
      <c r="D97" s="1304">
        <v>23940</v>
      </c>
      <c r="E97" s="1304">
        <v>227.73087719298246</v>
      </c>
      <c r="F97" s="1305">
        <v>5451877.2</v>
      </c>
      <c r="G97" s="1293">
        <f t="shared" si="9"/>
        <v>1090375.4400000002</v>
      </c>
      <c r="H97" s="1293">
        <f t="shared" si="8"/>
        <v>6542252.640000001</v>
      </c>
    </row>
    <row r="98" spans="1:8" ht="12">
      <c r="A98" s="2081"/>
      <c r="B98" s="1295" t="s">
        <v>1272</v>
      </c>
      <c r="D98" s="1306">
        <v>17190</v>
      </c>
      <c r="E98" s="1304">
        <v>237.07737056428155</v>
      </c>
      <c r="F98" s="1307">
        <v>4075360</v>
      </c>
      <c r="G98" s="1293">
        <f t="shared" si="9"/>
        <v>815072</v>
      </c>
      <c r="H98" s="1293">
        <f t="shared" si="8"/>
        <v>4890432</v>
      </c>
    </row>
    <row r="99" spans="1:8" ht="12">
      <c r="A99" s="2081"/>
      <c r="B99" s="1295" t="s">
        <v>125</v>
      </c>
      <c r="D99" s="1306">
        <v>8460</v>
      </c>
      <c r="E99" s="1304">
        <v>301.8262411347518</v>
      </c>
      <c r="F99" s="1307">
        <v>2553450</v>
      </c>
      <c r="G99" s="1293">
        <f t="shared" si="9"/>
        <v>510690</v>
      </c>
      <c r="H99" s="1293">
        <f>F99+G99</f>
        <v>3064140</v>
      </c>
    </row>
    <row r="100" spans="1:8" ht="12">
      <c r="A100" s="2081"/>
      <c r="B100" s="1292" t="s">
        <v>1267</v>
      </c>
      <c r="D100" s="1304">
        <v>60</v>
      </c>
      <c r="E100" s="1304">
        <v>249.69</v>
      </c>
      <c r="F100" s="1305">
        <v>14981.4</v>
      </c>
      <c r="G100" s="1293">
        <f t="shared" si="9"/>
        <v>2996.28</v>
      </c>
      <c r="H100" s="1293">
        <f>F100+G100</f>
        <v>17977.68</v>
      </c>
    </row>
    <row r="101" spans="1:8" ht="12">
      <c r="A101" s="2081"/>
      <c r="B101" s="1295" t="s">
        <v>1273</v>
      </c>
      <c r="D101" s="1306">
        <v>22565</v>
      </c>
      <c r="E101" s="1304">
        <v>232.91978728118767</v>
      </c>
      <c r="F101" s="1307">
        <v>5255835</v>
      </c>
      <c r="G101" s="1293">
        <f t="shared" si="9"/>
        <v>1051167</v>
      </c>
      <c r="H101" s="1293">
        <f>F101+G101</f>
        <v>6307002</v>
      </c>
    </row>
    <row r="102" spans="1:8" ht="12">
      <c r="A102" s="2082"/>
      <c r="B102" s="1296" t="s">
        <v>1268</v>
      </c>
      <c r="D102" s="1297">
        <f>SUM(D92:D101)</f>
        <v>117973</v>
      </c>
      <c r="E102" s="1297">
        <f>F102/D102</f>
        <v>230.84332949064617</v>
      </c>
      <c r="F102" s="1297">
        <f>SUM(F92:F101)</f>
        <v>27233280.11</v>
      </c>
      <c r="G102" s="1297">
        <f>SUM(G92:G101)</f>
        <v>3898089.43</v>
      </c>
      <c r="H102" s="1297">
        <f>SUM(H92:H101)</f>
        <v>31131369.54</v>
      </c>
    </row>
    <row r="103" spans="1:2" ht="12">
      <c r="A103" s="1288"/>
      <c r="B103" s="1288"/>
    </row>
    <row r="104" spans="1:2" ht="12">
      <c r="A104" s="1288"/>
      <c r="B104" s="1288"/>
    </row>
    <row r="105" spans="1:8" ht="12">
      <c r="A105" s="2080" t="s">
        <v>1282</v>
      </c>
      <c r="B105" s="1278" t="s">
        <v>1255</v>
      </c>
      <c r="D105" s="1298" t="s">
        <v>1256</v>
      </c>
      <c r="E105" s="1298" t="s">
        <v>1257</v>
      </c>
      <c r="F105" s="1298" t="s">
        <v>1258</v>
      </c>
      <c r="G105" s="1299" t="s">
        <v>1259</v>
      </c>
      <c r="H105" s="1299" t="s">
        <v>1260</v>
      </c>
    </row>
    <row r="106" spans="1:8" ht="12">
      <c r="A106" s="2081"/>
      <c r="B106" s="1292" t="s">
        <v>1277</v>
      </c>
      <c r="D106" s="1304">
        <v>4560</v>
      </c>
      <c r="E106" s="1304">
        <v>443.35105263157897</v>
      </c>
      <c r="F106" s="1305">
        <v>2021680.8</v>
      </c>
      <c r="G106" s="1305">
        <v>404336.16000000003</v>
      </c>
      <c r="H106" s="1293">
        <v>2426016.96</v>
      </c>
    </row>
    <row r="107" spans="1:8" ht="12">
      <c r="A107" s="2081"/>
      <c r="B107" s="1292" t="s">
        <v>116</v>
      </c>
      <c r="D107" s="1304">
        <v>2259</v>
      </c>
      <c r="E107" s="1304">
        <v>431.0119521912351</v>
      </c>
      <c r="F107" s="1305">
        <v>973656</v>
      </c>
      <c r="G107" s="1305">
        <v>194731.2</v>
      </c>
      <c r="H107" s="1293">
        <v>1168387.2</v>
      </c>
    </row>
    <row r="108" spans="1:8" ht="12">
      <c r="A108" s="2081"/>
      <c r="B108" s="1292" t="s">
        <v>1283</v>
      </c>
      <c r="D108" s="1304">
        <v>2606</v>
      </c>
      <c r="E108" s="1304">
        <v>330.8900613967767</v>
      </c>
      <c r="F108" s="1305">
        <v>862299.5</v>
      </c>
      <c r="G108" s="1305">
        <v>172459.90000000002</v>
      </c>
      <c r="H108" s="1293">
        <v>1034759.4</v>
      </c>
    </row>
    <row r="109" spans="1:8" ht="12">
      <c r="A109" s="2081"/>
      <c r="B109" s="1292" t="s">
        <v>1263</v>
      </c>
      <c r="D109" s="1304">
        <v>36000</v>
      </c>
      <c r="E109" s="1304">
        <v>455.70533333333333</v>
      </c>
      <c r="F109" s="1305">
        <v>16405392</v>
      </c>
      <c r="G109" s="1305"/>
      <c r="H109" s="1293">
        <v>16405392</v>
      </c>
    </row>
    <row r="110" spans="1:8" ht="12">
      <c r="A110" s="2081"/>
      <c r="B110" s="1292" t="s">
        <v>1284</v>
      </c>
      <c r="D110" s="1304">
        <v>3360</v>
      </c>
      <c r="E110" s="1304">
        <v>438.6</v>
      </c>
      <c r="F110" s="1305">
        <v>1473696</v>
      </c>
      <c r="G110" s="1305">
        <v>294739.2</v>
      </c>
      <c r="H110" s="1293">
        <v>1768435.2</v>
      </c>
    </row>
    <row r="111" spans="1:8" ht="12">
      <c r="A111" s="2081"/>
      <c r="B111" s="1292" t="s">
        <v>1281</v>
      </c>
      <c r="D111" s="1304">
        <v>336</v>
      </c>
      <c r="E111" s="1304">
        <v>410.00999999999993</v>
      </c>
      <c r="F111" s="1305">
        <v>137763.36</v>
      </c>
      <c r="G111" s="1305"/>
      <c r="H111" s="1293">
        <v>137763.36</v>
      </c>
    </row>
    <row r="112" spans="1:8" ht="12">
      <c r="A112" s="2081"/>
      <c r="B112" s="1292" t="s">
        <v>1279</v>
      </c>
      <c r="D112" s="1304">
        <v>12480</v>
      </c>
      <c r="E112" s="1304">
        <v>452.4200000000001</v>
      </c>
      <c r="F112" s="1305">
        <v>5646201.600000001</v>
      </c>
      <c r="G112" s="1305">
        <v>1129240.32</v>
      </c>
      <c r="H112" s="1293">
        <v>6775441.920000001</v>
      </c>
    </row>
    <row r="113" spans="1:8" ht="12">
      <c r="A113" s="2081"/>
      <c r="B113" s="1292" t="s">
        <v>1265</v>
      </c>
      <c r="D113" s="1304">
        <v>40200</v>
      </c>
      <c r="E113" s="1304">
        <v>462.62683582089545</v>
      </c>
      <c r="F113" s="1305">
        <v>18597598.799999997</v>
      </c>
      <c r="G113" s="1305">
        <v>3719519.76</v>
      </c>
      <c r="H113" s="1293">
        <v>22317118.559999995</v>
      </c>
    </row>
    <row r="114" spans="1:8" ht="12">
      <c r="A114" s="2081"/>
      <c r="B114" s="1295" t="s">
        <v>1272</v>
      </c>
      <c r="D114" s="1306">
        <v>28260</v>
      </c>
      <c r="E114" s="1304">
        <v>415.05265392781314</v>
      </c>
      <c r="F114" s="1307">
        <v>11729388</v>
      </c>
      <c r="G114" s="1307">
        <v>2345877.6</v>
      </c>
      <c r="H114" s="1293">
        <v>14075265.6</v>
      </c>
    </row>
    <row r="115" spans="1:8" ht="12">
      <c r="A115" s="2081"/>
      <c r="B115" s="1295" t="s">
        <v>125</v>
      </c>
      <c r="D115" s="1306">
        <v>9240</v>
      </c>
      <c r="E115" s="1304">
        <v>417.42974025974024</v>
      </c>
      <c r="F115" s="1307">
        <v>3857050.8</v>
      </c>
      <c r="G115" s="1307">
        <v>771410.16</v>
      </c>
      <c r="H115" s="1293">
        <v>4628460.96</v>
      </c>
    </row>
    <row r="116" spans="1:8" ht="12">
      <c r="A116" s="2081"/>
      <c r="B116" s="1292" t="s">
        <v>1267</v>
      </c>
      <c r="D116" s="1304">
        <v>4440</v>
      </c>
      <c r="E116" s="1304">
        <v>453.8929729729729</v>
      </c>
      <c r="F116" s="1305">
        <v>2015284.7999999998</v>
      </c>
      <c r="G116" s="1305">
        <v>403056.95999999996</v>
      </c>
      <c r="H116" s="1293">
        <v>2418341.76</v>
      </c>
    </row>
    <row r="117" spans="1:8" ht="12">
      <c r="A117" s="2081"/>
      <c r="B117" s="1295" t="s">
        <v>1273</v>
      </c>
      <c r="D117" s="1306">
        <v>26640</v>
      </c>
      <c r="E117" s="1304">
        <v>417.009009009009</v>
      </c>
      <c r="F117" s="1307">
        <v>11109120</v>
      </c>
      <c r="G117" s="1307">
        <v>2221824</v>
      </c>
      <c r="H117" s="1293">
        <v>13330944</v>
      </c>
    </row>
    <row r="118" spans="1:8" ht="12">
      <c r="A118" s="2082"/>
      <c r="B118" s="1296" t="s">
        <v>1268</v>
      </c>
      <c r="D118" s="1297">
        <f>SUM(D106:D117)</f>
        <v>170381</v>
      </c>
      <c r="E118" s="1297">
        <f>F118/D118</f>
        <v>439.1870669851685</v>
      </c>
      <c r="F118" s="1297">
        <f>SUM(F106:F117)</f>
        <v>74829131.66</v>
      </c>
      <c r="G118" s="1297">
        <f>SUM(G106:G117)</f>
        <v>11657195.260000002</v>
      </c>
      <c r="H118" s="1297">
        <f>SUM(H106:H117)</f>
        <v>86486326.92</v>
      </c>
    </row>
    <row r="119" spans="1:2" ht="12">
      <c r="A119" s="1288"/>
      <c r="B119" s="1288"/>
    </row>
    <row r="120" spans="1:2" ht="12">
      <c r="A120" s="1288"/>
      <c r="B120" s="1288"/>
    </row>
    <row r="121" spans="1:8" ht="12">
      <c r="A121" s="2080" t="s">
        <v>1285</v>
      </c>
      <c r="B121" s="1278" t="s">
        <v>1255</v>
      </c>
      <c r="D121" s="1298" t="s">
        <v>1256</v>
      </c>
      <c r="E121" s="1298" t="s">
        <v>1257</v>
      </c>
      <c r="F121" s="1298" t="s">
        <v>1258</v>
      </c>
      <c r="G121" s="1299" t="s">
        <v>1259</v>
      </c>
      <c r="H121" s="1299" t="s">
        <v>1260</v>
      </c>
    </row>
    <row r="122" spans="1:8" ht="12">
      <c r="A122" s="2081"/>
      <c r="B122" s="1292" t="s">
        <v>1277</v>
      </c>
      <c r="D122" s="1304">
        <v>5310</v>
      </c>
      <c r="E122" s="1304">
        <v>465.819209039548</v>
      </c>
      <c r="F122" s="1305">
        <v>2473500</v>
      </c>
      <c r="G122" s="1305">
        <v>494700</v>
      </c>
      <c r="H122" s="1293">
        <f>SUM(F122:G122)</f>
        <v>2968200</v>
      </c>
    </row>
    <row r="123" spans="1:8" ht="12">
      <c r="A123" s="2081"/>
      <c r="B123" s="1292" t="s">
        <v>116</v>
      </c>
      <c r="D123" s="1304">
        <v>3960</v>
      </c>
      <c r="E123" s="1304">
        <v>469.1666666666667</v>
      </c>
      <c r="F123" s="1305">
        <v>1857900</v>
      </c>
      <c r="G123" s="1305">
        <v>371580</v>
      </c>
      <c r="H123" s="1293">
        <f aca="true" t="shared" si="10" ref="H123:H131">SUM(F123:G123)</f>
        <v>2229480</v>
      </c>
    </row>
    <row r="124" spans="1:8" ht="12">
      <c r="A124" s="2081"/>
      <c r="B124" s="1292" t="s">
        <v>1283</v>
      </c>
      <c r="D124" s="1304">
        <v>72</v>
      </c>
      <c r="E124" s="1304">
        <v>395</v>
      </c>
      <c r="F124" s="1305">
        <v>28440</v>
      </c>
      <c r="G124" s="1305">
        <v>5688</v>
      </c>
      <c r="H124" s="1293">
        <f t="shared" si="10"/>
        <v>34128</v>
      </c>
    </row>
    <row r="125" spans="1:8" ht="12">
      <c r="A125" s="2081"/>
      <c r="B125" s="1292" t="s">
        <v>1263</v>
      </c>
      <c r="D125" s="1304">
        <v>33000</v>
      </c>
      <c r="E125" s="1304">
        <v>476.02216</v>
      </c>
      <c r="F125" s="1305">
        <v>15708731.28</v>
      </c>
      <c r="G125" s="1305"/>
      <c r="H125" s="1293">
        <f t="shared" si="10"/>
        <v>15708731.28</v>
      </c>
    </row>
    <row r="126" spans="1:8" ht="12">
      <c r="A126" s="2081"/>
      <c r="B126" s="1292" t="s">
        <v>1281</v>
      </c>
      <c r="D126" s="1304">
        <v>258</v>
      </c>
      <c r="E126" s="1304">
        <v>466.02674418604647</v>
      </c>
      <c r="F126" s="1305">
        <v>120234.9</v>
      </c>
      <c r="G126" s="1305"/>
      <c r="H126" s="1293">
        <f t="shared" si="10"/>
        <v>120234.9</v>
      </c>
    </row>
    <row r="127" spans="1:8" ht="12">
      <c r="A127" s="2081"/>
      <c r="B127" s="1292" t="s">
        <v>1265</v>
      </c>
      <c r="D127" s="1304">
        <v>40110</v>
      </c>
      <c r="E127" s="1304">
        <v>492.2307255048616</v>
      </c>
      <c r="F127" s="1305">
        <v>19743374.4</v>
      </c>
      <c r="G127" s="1305">
        <v>3948674.88</v>
      </c>
      <c r="H127" s="1293">
        <f t="shared" si="10"/>
        <v>23692049.279999997</v>
      </c>
    </row>
    <row r="128" spans="1:8" ht="12">
      <c r="A128" s="2081"/>
      <c r="B128" s="1292" t="s">
        <v>1272</v>
      </c>
      <c r="D128" s="1304">
        <v>2060</v>
      </c>
      <c r="E128" s="1304">
        <v>478.07961165048545</v>
      </c>
      <c r="F128" s="1305">
        <v>984844</v>
      </c>
      <c r="G128" s="1305">
        <v>196968.80000000002</v>
      </c>
      <c r="H128" s="1293">
        <f t="shared" si="10"/>
        <v>1181812.8</v>
      </c>
    </row>
    <row r="129" spans="1:8" ht="12">
      <c r="A129" s="2081"/>
      <c r="B129" s="1292" t="s">
        <v>125</v>
      </c>
      <c r="D129" s="1304">
        <v>12900</v>
      </c>
      <c r="E129" s="1304">
        <v>491.5626511627907</v>
      </c>
      <c r="F129" s="1305">
        <v>6341158.2</v>
      </c>
      <c r="G129" s="1305">
        <v>1268231.6400000001</v>
      </c>
      <c r="H129" s="1293">
        <f t="shared" si="10"/>
        <v>7609389.84</v>
      </c>
    </row>
    <row r="130" spans="1:8" ht="12">
      <c r="A130" s="2081"/>
      <c r="B130" s="1295" t="s">
        <v>1267</v>
      </c>
      <c r="D130" s="1306">
        <v>4800</v>
      </c>
      <c r="E130" s="1304">
        <v>504.85650000000004</v>
      </c>
      <c r="F130" s="1307">
        <v>2423311.2</v>
      </c>
      <c r="G130" s="1307">
        <v>484662.24000000005</v>
      </c>
      <c r="H130" s="1293">
        <f t="shared" si="10"/>
        <v>2907973.4400000004</v>
      </c>
    </row>
    <row r="131" spans="1:8" ht="12">
      <c r="A131" s="2081"/>
      <c r="B131" s="1295" t="s">
        <v>1273</v>
      </c>
      <c r="D131" s="1306">
        <v>17560</v>
      </c>
      <c r="E131" s="1304">
        <v>467.60091116173123</v>
      </c>
      <c r="F131" s="1307">
        <v>8211072</v>
      </c>
      <c r="G131" s="1307">
        <v>1642214.4000000001</v>
      </c>
      <c r="H131" s="1293">
        <f t="shared" si="10"/>
        <v>9853286.4</v>
      </c>
    </row>
    <row r="132" spans="1:8" ht="12">
      <c r="A132" s="2082"/>
      <c r="B132" s="1296" t="s">
        <v>1268</v>
      </c>
      <c r="D132" s="1297">
        <f>SUM(D122:D131)</f>
        <v>120030</v>
      </c>
      <c r="E132" s="1297">
        <f>F132/D132</f>
        <v>482.31747046571695</v>
      </c>
      <c r="F132" s="1297">
        <f>SUM(F122:F131)</f>
        <v>57892565.980000004</v>
      </c>
      <c r="G132" s="1297">
        <f>SUM(G122:G131)</f>
        <v>8412719.96</v>
      </c>
      <c r="H132" s="1297">
        <f>SUM(H122:H131)</f>
        <v>66305285.93999999</v>
      </c>
    </row>
    <row r="133" spans="1:2" ht="12">
      <c r="A133" s="1288"/>
      <c r="B133" s="1288"/>
    </row>
    <row r="134" spans="1:4" ht="12">
      <c r="A134" s="1288"/>
      <c r="B134" s="1288"/>
      <c r="D134" s="1308"/>
    </row>
    <row r="135" spans="1:8" ht="12">
      <c r="A135" s="2080" t="s">
        <v>1286</v>
      </c>
      <c r="B135" s="1278" t="s">
        <v>1255</v>
      </c>
      <c r="D135" s="1298" t="s">
        <v>1256</v>
      </c>
      <c r="E135" s="1298" t="s">
        <v>1257</v>
      </c>
      <c r="F135" s="1298" t="s">
        <v>1258</v>
      </c>
      <c r="G135" s="1299" t="s">
        <v>1259</v>
      </c>
      <c r="H135" s="1299" t="s">
        <v>1260</v>
      </c>
    </row>
    <row r="136" spans="1:8" ht="12">
      <c r="A136" s="2081"/>
      <c r="B136" s="1292" t="s">
        <v>1277</v>
      </c>
      <c r="D136" s="1304">
        <v>3800</v>
      </c>
      <c r="E136" s="1304">
        <v>465.819209039548</v>
      </c>
      <c r="F136" s="1305">
        <v>1696842</v>
      </c>
      <c r="G136" s="1305">
        <f>F136*0.2</f>
        <v>339368.4</v>
      </c>
      <c r="H136" s="1293">
        <f>SUM(F136:G136)</f>
        <v>2036210.4</v>
      </c>
    </row>
    <row r="137" spans="1:8" ht="12">
      <c r="A137" s="2081"/>
      <c r="B137" s="1292" t="s">
        <v>116</v>
      </c>
      <c r="D137" s="1304">
        <v>9046</v>
      </c>
      <c r="E137" s="1304">
        <v>469.1666666666667</v>
      </c>
      <c r="F137" s="1305">
        <v>4154298</v>
      </c>
      <c r="G137" s="1305">
        <f>F137*0.2</f>
        <v>830859.6000000001</v>
      </c>
      <c r="H137" s="1293">
        <f aca="true" t="shared" si="11" ref="H137:H144">SUM(F137:G137)</f>
        <v>4985157.6</v>
      </c>
    </row>
    <row r="138" spans="1:8" ht="12">
      <c r="A138" s="2081"/>
      <c r="B138" s="1292" t="s">
        <v>1283</v>
      </c>
      <c r="D138" s="1304">
        <v>2130</v>
      </c>
      <c r="E138" s="1304">
        <v>395</v>
      </c>
      <c r="F138" s="1305">
        <v>971521.9</v>
      </c>
      <c r="G138" s="1305">
        <f>F138*0.2</f>
        <v>194304.38</v>
      </c>
      <c r="H138" s="1293">
        <f t="shared" si="11"/>
        <v>1165826.28</v>
      </c>
    </row>
    <row r="139" spans="1:8" ht="12">
      <c r="A139" s="2081"/>
      <c r="B139" s="1292" t="s">
        <v>1263</v>
      </c>
      <c r="D139" s="1304">
        <v>44640</v>
      </c>
      <c r="E139" s="1304">
        <v>476.02216</v>
      </c>
      <c r="F139" s="1305">
        <v>21413059.2</v>
      </c>
      <c r="G139" s="1305"/>
      <c r="H139" s="1293">
        <f t="shared" si="11"/>
        <v>21413059.2</v>
      </c>
    </row>
    <row r="140" spans="1:8" ht="12">
      <c r="A140" s="2081"/>
      <c r="B140" s="1292" t="s">
        <v>1265</v>
      </c>
      <c r="D140" s="1304">
        <v>18800</v>
      </c>
      <c r="E140" s="1304">
        <v>466.02674418604647</v>
      </c>
      <c r="F140" s="1305">
        <v>9194201</v>
      </c>
      <c r="G140" s="1305">
        <f>F140*0.2</f>
        <v>1838840.2000000002</v>
      </c>
      <c r="H140" s="1293">
        <f t="shared" si="11"/>
        <v>11033041.2</v>
      </c>
    </row>
    <row r="141" spans="1:8" ht="12">
      <c r="A141" s="2081"/>
      <c r="B141" s="1295" t="s">
        <v>1272</v>
      </c>
      <c r="D141" s="1306">
        <v>19080</v>
      </c>
      <c r="E141" s="1304">
        <v>492.2307255048616</v>
      </c>
      <c r="F141" s="1305">
        <v>9377688</v>
      </c>
      <c r="G141" s="1305">
        <f>F141*0.2</f>
        <v>1875537.6</v>
      </c>
      <c r="H141" s="1293">
        <f t="shared" si="11"/>
        <v>11253225.6</v>
      </c>
    </row>
    <row r="142" spans="1:8" ht="12">
      <c r="A142" s="2081"/>
      <c r="B142" s="1295" t="s">
        <v>125</v>
      </c>
      <c r="D142" s="1306">
        <v>10840</v>
      </c>
      <c r="E142" s="1304">
        <v>478.07961165048545</v>
      </c>
      <c r="F142" s="1305">
        <v>4903436</v>
      </c>
      <c r="G142" s="1305">
        <f>F142*0.2</f>
        <v>980687.2000000001</v>
      </c>
      <c r="H142" s="1293">
        <f t="shared" si="11"/>
        <v>5884123.2</v>
      </c>
    </row>
    <row r="143" spans="1:8" ht="12">
      <c r="A143" s="2081"/>
      <c r="B143" s="1292" t="s">
        <v>1267</v>
      </c>
      <c r="D143" s="1304">
        <v>780</v>
      </c>
      <c r="E143" s="1304">
        <v>491.5626511627907</v>
      </c>
      <c r="F143" s="1305">
        <v>370258.2</v>
      </c>
      <c r="G143" s="1305">
        <f>F143*0.2</f>
        <v>74051.64</v>
      </c>
      <c r="H143" s="1293">
        <f t="shared" si="11"/>
        <v>444309.84</v>
      </c>
    </row>
    <row r="144" spans="1:8" ht="12">
      <c r="A144" s="2081"/>
      <c r="B144" s="1295" t="s">
        <v>1273</v>
      </c>
      <c r="D144" s="1306">
        <v>16140</v>
      </c>
      <c r="E144" s="1304">
        <v>504.85650000000004</v>
      </c>
      <c r="F144" s="1307">
        <v>7944930</v>
      </c>
      <c r="G144" s="1305">
        <f>F144*0.2</f>
        <v>1588986</v>
      </c>
      <c r="H144" s="1293">
        <f t="shared" si="11"/>
        <v>9533916</v>
      </c>
    </row>
    <row r="145" spans="1:8" ht="12">
      <c r="A145" s="2082"/>
      <c r="B145" s="1296" t="s">
        <v>1268</v>
      </c>
      <c r="D145" s="1297">
        <f>SUM(D136:D144)</f>
        <v>125256</v>
      </c>
      <c r="E145" s="1297">
        <f>F145/D145</f>
        <v>479.2284146068851</v>
      </c>
      <c r="F145" s="1297">
        <f>SUM(F136:F144)</f>
        <v>60026234.300000004</v>
      </c>
      <c r="G145" s="1297">
        <f>SUM(G136:G144)</f>
        <v>7722635.02</v>
      </c>
      <c r="H145" s="1297">
        <f>SUM(H136:H144)</f>
        <v>67748869.32000001</v>
      </c>
    </row>
    <row r="146" spans="1:2" ht="12">
      <c r="A146" s="1288"/>
      <c r="B146" s="1288"/>
    </row>
    <row r="147" spans="1:2" ht="12">
      <c r="A147" s="1288"/>
      <c r="B147" s="1288"/>
    </row>
    <row r="148" spans="1:8" ht="12">
      <c r="A148" s="2080" t="s">
        <v>1338</v>
      </c>
      <c r="B148" s="1278" t="s">
        <v>1255</v>
      </c>
      <c r="D148" s="1298" t="s">
        <v>1256</v>
      </c>
      <c r="E148" s="1298" t="s">
        <v>1257</v>
      </c>
      <c r="F148" s="1298" t="s">
        <v>1258</v>
      </c>
      <c r="G148" s="1299" t="s">
        <v>1259</v>
      </c>
      <c r="H148" s="1299" t="s">
        <v>1260</v>
      </c>
    </row>
    <row r="149" spans="1:8" ht="12">
      <c r="A149" s="2081"/>
      <c r="B149" s="1292" t="s">
        <v>1277</v>
      </c>
      <c r="D149" s="1304">
        <v>8448</v>
      </c>
      <c r="E149" s="1304">
        <v>195.88</v>
      </c>
      <c r="F149" s="1305">
        <v>1654794.24</v>
      </c>
      <c r="G149" s="1305">
        <f>F149*0.2</f>
        <v>330958.848</v>
      </c>
      <c r="H149" s="1293">
        <f>SUM(F149:G149)</f>
        <v>1985753.088</v>
      </c>
    </row>
    <row r="150" spans="1:8" ht="12">
      <c r="A150" s="2081"/>
      <c r="B150" s="1292" t="s">
        <v>1283</v>
      </c>
      <c r="D150" s="1304">
        <v>768</v>
      </c>
      <c r="E150" s="1304">
        <v>187.69999999999996</v>
      </c>
      <c r="F150" s="1305">
        <v>144153.59999999998</v>
      </c>
      <c r="G150" s="1305">
        <f>F150*0.2</f>
        <v>28830.719999999998</v>
      </c>
      <c r="H150" s="1293">
        <f aca="true" t="shared" si="12" ref="H150:H155">SUM(F150:G150)</f>
        <v>172984.31999999998</v>
      </c>
    </row>
    <row r="151" spans="1:8" ht="12">
      <c r="A151" s="2081"/>
      <c r="B151" s="1292" t="s">
        <v>1263</v>
      </c>
      <c r="D151" s="1304">
        <v>76720</v>
      </c>
      <c r="E151" s="1304">
        <v>404.11869655891553</v>
      </c>
      <c r="F151" s="1305">
        <v>31003986.4</v>
      </c>
      <c r="G151" s="1305">
        <v>0</v>
      </c>
      <c r="H151" s="1293">
        <f t="shared" si="12"/>
        <v>31003986.4</v>
      </c>
    </row>
    <row r="152" spans="1:8" ht="12">
      <c r="A152" s="2081"/>
      <c r="B152" s="1292" t="s">
        <v>1339</v>
      </c>
      <c r="D152" s="1304">
        <v>9600</v>
      </c>
      <c r="E152" s="1304">
        <v>235.55</v>
      </c>
      <c r="F152" s="1305">
        <v>2261280</v>
      </c>
      <c r="G152" s="1305">
        <f>F152*0.2</f>
        <v>452256</v>
      </c>
      <c r="H152" s="1293">
        <f t="shared" si="12"/>
        <v>2713536</v>
      </c>
    </row>
    <row r="153" spans="1:8" ht="12">
      <c r="A153" s="2081"/>
      <c r="B153" s="1292" t="s">
        <v>1265</v>
      </c>
      <c r="D153" s="1304">
        <v>24170</v>
      </c>
      <c r="E153" s="1304">
        <v>208.66875879189078</v>
      </c>
      <c r="F153" s="1305">
        <v>5043523.9</v>
      </c>
      <c r="G153" s="1305">
        <f>F153*0.2</f>
        <v>1008704.7800000001</v>
      </c>
      <c r="H153" s="1293">
        <f t="shared" si="12"/>
        <v>6052228.680000001</v>
      </c>
    </row>
    <row r="154" spans="1:8" ht="12">
      <c r="A154" s="2081"/>
      <c r="B154" s="1295" t="s">
        <v>1272</v>
      </c>
      <c r="D154" s="1306">
        <v>8450</v>
      </c>
      <c r="E154" s="1304">
        <v>215.4</v>
      </c>
      <c r="F154" s="1305">
        <v>1820130</v>
      </c>
      <c r="G154" s="1305">
        <f>F154*0.2</f>
        <v>364026</v>
      </c>
      <c r="H154" s="1293">
        <f t="shared" si="12"/>
        <v>2184156</v>
      </c>
    </row>
    <row r="155" spans="1:8" ht="12">
      <c r="A155" s="2081"/>
      <c r="B155" s="1295" t="s">
        <v>1273</v>
      </c>
      <c r="D155" s="1306">
        <v>15860</v>
      </c>
      <c r="E155" s="1304">
        <v>437.83858764186635</v>
      </c>
      <c r="F155" s="1305">
        <v>6944120</v>
      </c>
      <c r="G155" s="1305">
        <f>F155*0.2</f>
        <v>1388824</v>
      </c>
      <c r="H155" s="1293">
        <f t="shared" si="12"/>
        <v>8332944</v>
      </c>
    </row>
    <row r="156" spans="1:8" ht="12">
      <c r="A156" s="2082"/>
      <c r="B156" s="1296" t="s">
        <v>1268</v>
      </c>
      <c r="D156" s="1297">
        <f>SUM(D149:D155)</f>
        <v>144016</v>
      </c>
      <c r="E156" s="1297">
        <f>F156/D156</f>
        <v>339.3511008499055</v>
      </c>
      <c r="F156" s="1297">
        <f>SUM(F149:F155)</f>
        <v>48871988.13999999</v>
      </c>
      <c r="G156" s="1297">
        <f>SUM(G149:G155)</f>
        <v>3573600.348</v>
      </c>
      <c r="H156" s="1297">
        <f>SUM(H149:H155)</f>
        <v>52445588.488</v>
      </c>
    </row>
    <row r="157" spans="1:2" ht="12">
      <c r="A157" s="1288"/>
      <c r="B157" s="1288"/>
    </row>
    <row r="158" spans="1:2" ht="12">
      <c r="A158" s="1288"/>
      <c r="B158" s="1288"/>
    </row>
    <row r="159" spans="1:8" ht="12">
      <c r="A159" s="2080" t="s">
        <v>1366</v>
      </c>
      <c r="B159" s="1278" t="s">
        <v>1255</v>
      </c>
      <c r="D159" s="1298" t="s">
        <v>1256</v>
      </c>
      <c r="E159" s="1298" t="s">
        <v>1257</v>
      </c>
      <c r="F159" s="1298" t="s">
        <v>1258</v>
      </c>
      <c r="G159" s="1299" t="s">
        <v>1259</v>
      </c>
      <c r="H159" s="1299" t="s">
        <v>1260</v>
      </c>
    </row>
    <row r="160" spans="1:8" ht="12">
      <c r="A160" s="2081"/>
      <c r="B160" s="1292" t="s">
        <v>116</v>
      </c>
      <c r="D160" s="1304">
        <v>4200</v>
      </c>
      <c r="E160" s="1304">
        <f>F160/D160</f>
        <v>224.17</v>
      </c>
      <c r="F160" s="1305">
        <v>941514</v>
      </c>
      <c r="G160" s="1305">
        <f>F160*0.2</f>
        <v>188302.80000000002</v>
      </c>
      <c r="H160" s="1293">
        <f>SUM(F160:G160)</f>
        <v>1129816.8</v>
      </c>
    </row>
    <row r="161" spans="1:8" ht="12">
      <c r="A161" s="2081"/>
      <c r="B161" s="1292" t="s">
        <v>1283</v>
      </c>
      <c r="D161" s="1304">
        <v>3619</v>
      </c>
      <c r="E161" s="1304">
        <f aca="true" t="shared" si="13" ref="E161:E167">F161/D161</f>
        <v>233.73</v>
      </c>
      <c r="F161" s="1305">
        <v>845868.87</v>
      </c>
      <c r="G161" s="1305">
        <f>F161*0.2</f>
        <v>169173.774</v>
      </c>
      <c r="H161" s="1293">
        <f aca="true" t="shared" si="14" ref="H161:H167">SUM(F161:G161)</f>
        <v>1015042.644</v>
      </c>
    </row>
    <row r="162" spans="1:8" ht="12">
      <c r="A162" s="2081"/>
      <c r="B162" s="1292" t="s">
        <v>1367</v>
      </c>
      <c r="D162" s="1304">
        <v>504</v>
      </c>
      <c r="E162" s="1304">
        <f t="shared" si="13"/>
        <v>227</v>
      </c>
      <c r="F162" s="1305">
        <v>114408</v>
      </c>
      <c r="G162" s="1305">
        <v>0</v>
      </c>
      <c r="H162" s="1293">
        <f t="shared" si="14"/>
        <v>114408</v>
      </c>
    </row>
    <row r="163" spans="1:8" ht="12">
      <c r="A163" s="2081"/>
      <c r="B163" s="1292" t="s">
        <v>1263</v>
      </c>
      <c r="D163" s="1304">
        <v>45735</v>
      </c>
      <c r="E163" s="1304">
        <f t="shared" si="13"/>
        <v>214.19129878648738</v>
      </c>
      <c r="F163" s="1305">
        <v>9796039.05</v>
      </c>
      <c r="G163" s="1305">
        <v>0</v>
      </c>
      <c r="H163" s="1293">
        <f t="shared" si="14"/>
        <v>9796039.05</v>
      </c>
    </row>
    <row r="164" spans="1:8" ht="12">
      <c r="A164" s="2081"/>
      <c r="B164" s="1292" t="s">
        <v>1265</v>
      </c>
      <c r="D164" s="1304">
        <v>45860</v>
      </c>
      <c r="E164" s="1304">
        <f t="shared" si="13"/>
        <v>195.23336240732664</v>
      </c>
      <c r="F164" s="1305">
        <v>8953402</v>
      </c>
      <c r="G164" s="1305">
        <f>F164*0.2</f>
        <v>1790680.4000000001</v>
      </c>
      <c r="H164" s="1293">
        <f t="shared" si="14"/>
        <v>10744082.4</v>
      </c>
    </row>
    <row r="165" spans="1:8" ht="12">
      <c r="A165" s="2081"/>
      <c r="B165" s="1295" t="s">
        <v>1272</v>
      </c>
      <c r="D165" s="1306">
        <v>13440</v>
      </c>
      <c r="E165" s="1304">
        <f t="shared" si="13"/>
        <v>226.5</v>
      </c>
      <c r="F165" s="1305">
        <v>3044160</v>
      </c>
      <c r="G165" s="1305">
        <f>F165*0.2</f>
        <v>608832</v>
      </c>
      <c r="H165" s="1293">
        <f t="shared" si="14"/>
        <v>3652992</v>
      </c>
    </row>
    <row r="166" spans="1:8" ht="12">
      <c r="A166" s="2081"/>
      <c r="B166" s="1295" t="s">
        <v>1368</v>
      </c>
      <c r="D166" s="1306">
        <v>3255</v>
      </c>
      <c r="E166" s="1304">
        <f t="shared" si="13"/>
        <v>210.24161290322579</v>
      </c>
      <c r="F166" s="1305">
        <v>684336.45</v>
      </c>
      <c r="G166" s="1305">
        <f>F166*0.2</f>
        <v>136867.29</v>
      </c>
      <c r="H166" s="1293">
        <f t="shared" si="14"/>
        <v>821203.74</v>
      </c>
    </row>
    <row r="167" spans="1:8" ht="12">
      <c r="A167" s="2081"/>
      <c r="B167" s="1295" t="s">
        <v>1273</v>
      </c>
      <c r="D167" s="1306">
        <v>32360</v>
      </c>
      <c r="E167" s="1304">
        <f t="shared" si="13"/>
        <v>215.53430160692213</v>
      </c>
      <c r="F167" s="1305">
        <v>6974690</v>
      </c>
      <c r="G167" s="1305">
        <f>F167*0.2</f>
        <v>1394938</v>
      </c>
      <c r="H167" s="1293">
        <f t="shared" si="14"/>
        <v>8369628</v>
      </c>
    </row>
    <row r="168" spans="1:8" ht="12">
      <c r="A168" s="2082"/>
      <c r="B168" s="1296" t="s">
        <v>1268</v>
      </c>
      <c r="C168" s="1297">
        <f>SUM(D160:D167)</f>
        <v>148973</v>
      </c>
      <c r="D168" s="1344">
        <f>E168/C168</f>
        <v>210.47047699918778</v>
      </c>
      <c r="E168" s="1297">
        <f>SUM(F160:F167)</f>
        <v>31354418.37</v>
      </c>
      <c r="F168" s="1297">
        <f>SUM(G160:G167)</f>
        <v>4288794.264</v>
      </c>
      <c r="G168" s="1297">
        <f>SUM(H160:H167)</f>
        <v>35643212.634</v>
      </c>
      <c r="H168" s="1288"/>
    </row>
    <row r="169" ht="12" thickBot="1"/>
    <row r="170" spans="7:8" ht="16.5" thickBot="1">
      <c r="G170" s="2020" t="s">
        <v>1433</v>
      </c>
      <c r="H170" s="2021"/>
    </row>
  </sheetData>
  <sheetProtection/>
  <mergeCells count="18">
    <mergeCell ref="A105:A118"/>
    <mergeCell ref="A121:A132"/>
    <mergeCell ref="G170:H170"/>
    <mergeCell ref="A1:H1"/>
    <mergeCell ref="A2:A3"/>
    <mergeCell ref="B2:B3"/>
    <mergeCell ref="C2:C3"/>
    <mergeCell ref="A135:A145"/>
    <mergeCell ref="A148:A156"/>
    <mergeCell ref="A159:A168"/>
    <mergeCell ref="A16:B16"/>
    <mergeCell ref="A19:C19"/>
    <mergeCell ref="A20:A29"/>
    <mergeCell ref="A31:A45"/>
    <mergeCell ref="A47:A61"/>
    <mergeCell ref="A64:A74"/>
    <mergeCell ref="A77:A88"/>
    <mergeCell ref="A91:A102"/>
  </mergeCells>
  <printOptions/>
  <pageMargins left="0.7" right="0.7" top="0.75" bottom="0.75" header="0.3" footer="0.3"/>
  <pageSetup orientation="portrait" paperSize="9" scale="36" r:id="rId1"/>
  <rowBreaks count="1" manualBreakCount="1">
    <brk id="171" max="7" man="1"/>
  </rowBreaks>
  <colBreaks count="1" manualBreakCount="1">
    <brk id="8" max="1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P56"/>
  <sheetViews>
    <sheetView view="pageBreakPreview" zoomScaleSheetLayoutView="100" zoomScalePageLayoutView="0" workbookViewId="0" topLeftCell="A22">
      <selection activeCell="I56" sqref="I56:J56"/>
    </sheetView>
  </sheetViews>
  <sheetFormatPr defaultColWidth="9.140625" defaultRowHeight="15"/>
  <cols>
    <col min="1" max="1" width="18.00390625" style="0" bestFit="1" customWidth="1"/>
    <col min="2" max="2" width="27.421875" style="0" bestFit="1" customWidth="1"/>
    <col min="3" max="3" width="13.421875" style="0" bestFit="1" customWidth="1"/>
    <col min="4" max="4" width="11.28125" style="0" bestFit="1" customWidth="1"/>
    <col min="5" max="5" width="14.28125" style="0" bestFit="1" customWidth="1"/>
    <col min="6" max="6" width="13.28125" style="0" bestFit="1" customWidth="1"/>
    <col min="7" max="7" width="15.57421875" style="0" bestFit="1" customWidth="1"/>
    <col min="10" max="10" width="15.8515625" style="0" customWidth="1"/>
    <col min="11" max="11" width="9.421875" style="0" customWidth="1"/>
    <col min="12" max="12" width="11.7109375" style="0" customWidth="1"/>
    <col min="13" max="13" width="14.28125" style="0" customWidth="1"/>
    <col min="14" max="14" width="15.421875" style="0" customWidth="1"/>
    <col min="15" max="15" width="13.28125" style="0" customWidth="1"/>
    <col min="16" max="16" width="15.28125" style="0" customWidth="1"/>
  </cols>
  <sheetData>
    <row r="1" spans="1:16" ht="14.25">
      <c r="A1" s="1726" t="s">
        <v>1385</v>
      </c>
      <c r="B1" s="1727"/>
      <c r="C1" s="1727"/>
      <c r="D1" s="1727"/>
      <c r="E1" s="1727"/>
      <c r="F1" s="1727"/>
      <c r="G1" s="1728"/>
      <c r="I1" s="2086" t="s">
        <v>1387</v>
      </c>
      <c r="J1" s="2086"/>
      <c r="K1" s="2086"/>
      <c r="L1" s="2086"/>
      <c r="M1" s="2086"/>
      <c r="N1" s="2086"/>
      <c r="O1" s="2086"/>
      <c r="P1" s="2086"/>
    </row>
    <row r="2" spans="1:16" ht="14.25">
      <c r="A2" s="1322" t="s">
        <v>1287</v>
      </c>
      <c r="B2" s="1322" t="s">
        <v>1288</v>
      </c>
      <c r="C2" s="1322" t="s">
        <v>1289</v>
      </c>
      <c r="D2" s="1322" t="s">
        <v>1290</v>
      </c>
      <c r="E2" s="1322" t="s">
        <v>1258</v>
      </c>
      <c r="F2" s="1322" t="s">
        <v>1259</v>
      </c>
      <c r="G2" s="1322" t="s">
        <v>1260</v>
      </c>
      <c r="I2" s="2087" t="s">
        <v>1287</v>
      </c>
      <c r="J2" s="2087" t="s">
        <v>510</v>
      </c>
      <c r="K2" s="2087" t="s">
        <v>1288</v>
      </c>
      <c r="L2" s="241" t="s">
        <v>1289</v>
      </c>
      <c r="M2" s="241" t="s">
        <v>1290</v>
      </c>
      <c r="N2" s="241" t="s">
        <v>1258</v>
      </c>
      <c r="O2" s="241" t="s">
        <v>1259</v>
      </c>
      <c r="P2" s="241" t="s">
        <v>1260</v>
      </c>
    </row>
    <row r="3" spans="1:16" ht="14.25">
      <c r="A3" s="1345"/>
      <c r="B3" s="1345"/>
      <c r="C3" s="1322" t="s">
        <v>76</v>
      </c>
      <c r="D3" s="1322" t="s">
        <v>1291</v>
      </c>
      <c r="E3" s="1322" t="s">
        <v>1292</v>
      </c>
      <c r="F3" s="1322" t="s">
        <v>1292</v>
      </c>
      <c r="G3" s="1322" t="s">
        <v>1292</v>
      </c>
      <c r="I3" s="2087"/>
      <c r="J3" s="2087"/>
      <c r="K3" s="2087"/>
      <c r="L3" s="241" t="s">
        <v>76</v>
      </c>
      <c r="M3" s="241" t="s">
        <v>1291</v>
      </c>
      <c r="N3" s="241" t="s">
        <v>1292</v>
      </c>
      <c r="O3" s="241" t="s">
        <v>1292</v>
      </c>
      <c r="P3" s="241" t="s">
        <v>1292</v>
      </c>
    </row>
    <row r="4" spans="1:16" ht="14.25">
      <c r="A4" s="1323" t="s">
        <v>12</v>
      </c>
      <c r="B4" s="1323" t="s">
        <v>1374</v>
      </c>
      <c r="C4" s="1340">
        <v>0</v>
      </c>
      <c r="D4" s="1341">
        <v>0</v>
      </c>
      <c r="E4" s="1340">
        <v>0</v>
      </c>
      <c r="F4" s="1340">
        <v>0</v>
      </c>
      <c r="G4" s="1340">
        <v>0</v>
      </c>
      <c r="I4" s="2088" t="s">
        <v>12</v>
      </c>
      <c r="J4" s="2088" t="s">
        <v>1293</v>
      </c>
      <c r="K4" s="1347" t="s">
        <v>1374</v>
      </c>
      <c r="L4" s="1348">
        <v>840</v>
      </c>
      <c r="M4" s="1349">
        <v>338.57142857142856</v>
      </c>
      <c r="N4" s="1349">
        <v>284400</v>
      </c>
      <c r="O4" s="1349">
        <v>0</v>
      </c>
      <c r="P4" s="1349">
        <f>N4</f>
        <v>284400</v>
      </c>
    </row>
    <row r="5" spans="1:16" ht="14.25">
      <c r="A5" s="1324" t="s">
        <v>13</v>
      </c>
      <c r="B5" s="1323" t="s">
        <v>1374</v>
      </c>
      <c r="C5" s="1340">
        <v>0</v>
      </c>
      <c r="D5" s="1341">
        <v>0</v>
      </c>
      <c r="E5" s="1340">
        <v>0</v>
      </c>
      <c r="F5" s="1340">
        <v>0</v>
      </c>
      <c r="G5" s="1340">
        <v>0</v>
      </c>
      <c r="I5" s="2089"/>
      <c r="J5" s="2089"/>
      <c r="K5" s="1350" t="s">
        <v>1294</v>
      </c>
      <c r="L5" s="1351">
        <v>0</v>
      </c>
      <c r="M5" s="1351">
        <v>0</v>
      </c>
      <c r="N5" s="1351">
        <v>0</v>
      </c>
      <c r="O5" s="1351">
        <v>0</v>
      </c>
      <c r="P5" s="1351">
        <v>0</v>
      </c>
    </row>
    <row r="6" spans="1:16" ht="14.25">
      <c r="A6" s="1324" t="s">
        <v>14</v>
      </c>
      <c r="B6" s="1323" t="s">
        <v>1374</v>
      </c>
      <c r="C6" s="1340">
        <v>0</v>
      </c>
      <c r="D6" s="1341">
        <v>0</v>
      </c>
      <c r="E6" s="1340">
        <v>0</v>
      </c>
      <c r="F6" s="1340">
        <v>0</v>
      </c>
      <c r="G6" s="1340">
        <v>0</v>
      </c>
      <c r="I6" s="2088" t="s">
        <v>13</v>
      </c>
      <c r="J6" s="2088" t="s">
        <v>1295</v>
      </c>
      <c r="K6" s="1347" t="s">
        <v>1374</v>
      </c>
      <c r="L6" s="1349">
        <v>0</v>
      </c>
      <c r="M6" s="1349">
        <v>0</v>
      </c>
      <c r="N6" s="1349">
        <v>0</v>
      </c>
      <c r="O6" s="1349">
        <v>0</v>
      </c>
      <c r="P6" s="1349">
        <f>SUM(N6:O6)</f>
        <v>0</v>
      </c>
    </row>
    <row r="7" spans="1:16" ht="14.25">
      <c r="A7" s="1325" t="s">
        <v>15</v>
      </c>
      <c r="B7" s="1323" t="s">
        <v>1374</v>
      </c>
      <c r="C7" s="1340">
        <v>11850</v>
      </c>
      <c r="D7" s="1341">
        <f>E7/C7</f>
        <v>142.52193737721518</v>
      </c>
      <c r="E7" s="1340">
        <v>1688884.95792</v>
      </c>
      <c r="F7" s="1340">
        <v>290966.19158400013</v>
      </c>
      <c r="G7" s="1340">
        <f>SUM(E7:F7)</f>
        <v>1979851.149504</v>
      </c>
      <c r="I7" s="2089"/>
      <c r="J7" s="2089"/>
      <c r="K7" s="1350" t="s">
        <v>1294</v>
      </c>
      <c r="L7" s="1351">
        <v>0</v>
      </c>
      <c r="M7" s="1351">
        <v>0</v>
      </c>
      <c r="N7" s="1351">
        <v>0</v>
      </c>
      <c r="O7" s="1351">
        <v>0</v>
      </c>
      <c r="P7" s="1351">
        <v>0</v>
      </c>
    </row>
    <row r="8" spans="1:16" ht="14.25">
      <c r="A8" s="1325" t="s">
        <v>16</v>
      </c>
      <c r="B8" s="1323" t="s">
        <v>1374</v>
      </c>
      <c r="C8" s="1340">
        <v>0</v>
      </c>
      <c r="D8" s="1341">
        <v>0</v>
      </c>
      <c r="E8" s="1340">
        <v>0</v>
      </c>
      <c r="F8" s="1340">
        <v>0</v>
      </c>
      <c r="G8" s="1340">
        <v>0</v>
      </c>
      <c r="I8" s="2088" t="s">
        <v>14</v>
      </c>
      <c r="J8" s="2088" t="s">
        <v>1296</v>
      </c>
      <c r="K8" s="1347" t="s">
        <v>1374</v>
      </c>
      <c r="L8" s="1349">
        <v>0</v>
      </c>
      <c r="M8" s="1349">
        <v>0</v>
      </c>
      <c r="N8" s="1349">
        <v>0</v>
      </c>
      <c r="O8" s="1349">
        <v>0</v>
      </c>
      <c r="P8" s="1349">
        <v>0</v>
      </c>
    </row>
    <row r="9" spans="1:16" ht="14.25">
      <c r="A9" s="1325" t="s">
        <v>17</v>
      </c>
      <c r="B9" s="1323" t="s">
        <v>1374</v>
      </c>
      <c r="C9" s="1340">
        <v>0</v>
      </c>
      <c r="D9" s="1341">
        <v>0</v>
      </c>
      <c r="E9" s="1340">
        <v>0</v>
      </c>
      <c r="F9" s="1340">
        <v>0</v>
      </c>
      <c r="G9" s="1340">
        <v>0</v>
      </c>
      <c r="I9" s="2089"/>
      <c r="J9" s="2089"/>
      <c r="K9" s="1350" t="s">
        <v>1294</v>
      </c>
      <c r="L9" s="1352">
        <v>0</v>
      </c>
      <c r="M9" s="1351">
        <v>0</v>
      </c>
      <c r="N9" s="1351">
        <v>0</v>
      </c>
      <c r="O9" s="1351">
        <v>0</v>
      </c>
      <c r="P9" s="1351">
        <v>0</v>
      </c>
    </row>
    <row r="10" spans="1:16" ht="14.25">
      <c r="A10" s="1325" t="s">
        <v>18</v>
      </c>
      <c r="B10" s="1323" t="s">
        <v>1374</v>
      </c>
      <c r="C10" s="1340">
        <v>0</v>
      </c>
      <c r="D10" s="1341">
        <v>0</v>
      </c>
      <c r="E10" s="1340">
        <v>0</v>
      </c>
      <c r="F10" s="1340">
        <v>0</v>
      </c>
      <c r="G10" s="1340">
        <v>0</v>
      </c>
      <c r="I10" s="2089" t="s">
        <v>15</v>
      </c>
      <c r="J10" s="2089" t="s">
        <v>1297</v>
      </c>
      <c r="K10" s="1347" t="s">
        <v>1374</v>
      </c>
      <c r="L10" s="1349">
        <v>0</v>
      </c>
      <c r="M10" s="1349">
        <v>0</v>
      </c>
      <c r="N10" s="1349">
        <v>0</v>
      </c>
      <c r="O10" s="1349">
        <v>0</v>
      </c>
      <c r="P10" s="1349">
        <v>0</v>
      </c>
    </row>
    <row r="11" spans="1:16" ht="14.25">
      <c r="A11" s="1325" t="s">
        <v>19</v>
      </c>
      <c r="B11" s="1323" t="s">
        <v>1374</v>
      </c>
      <c r="C11" s="1340">
        <v>0</v>
      </c>
      <c r="D11" s="1341">
        <v>0</v>
      </c>
      <c r="E11" s="1340">
        <v>0</v>
      </c>
      <c r="F11" s="1340">
        <v>0</v>
      </c>
      <c r="G11" s="1340">
        <v>0</v>
      </c>
      <c r="I11" s="2092"/>
      <c r="J11" s="2092"/>
      <c r="K11" s="1350" t="s">
        <v>1294</v>
      </c>
      <c r="L11" s="1352">
        <v>0</v>
      </c>
      <c r="M11" s="1351">
        <v>0</v>
      </c>
      <c r="N11" s="1351">
        <v>0</v>
      </c>
      <c r="O11" s="1351">
        <v>0</v>
      </c>
      <c r="P11" s="1351">
        <v>0</v>
      </c>
    </row>
    <row r="12" spans="1:16" ht="14.25">
      <c r="A12" s="1325" t="s">
        <v>20</v>
      </c>
      <c r="B12" s="1323" t="s">
        <v>1374</v>
      </c>
      <c r="C12" s="1340">
        <v>0</v>
      </c>
      <c r="D12" s="1341">
        <v>0</v>
      </c>
      <c r="E12" s="1340">
        <v>0</v>
      </c>
      <c r="F12" s="1340">
        <v>0</v>
      </c>
      <c r="G12" s="1340">
        <v>0</v>
      </c>
      <c r="I12" s="2088" t="s">
        <v>16</v>
      </c>
      <c r="J12" s="2088" t="s">
        <v>1298</v>
      </c>
      <c r="K12" s="1347" t="s">
        <v>1374</v>
      </c>
      <c r="L12" s="1349">
        <v>0</v>
      </c>
      <c r="M12" s="1349">
        <v>0</v>
      </c>
      <c r="N12" s="1349">
        <v>0</v>
      </c>
      <c r="O12" s="1349">
        <v>0</v>
      </c>
      <c r="P12" s="1349">
        <v>0</v>
      </c>
    </row>
    <row r="13" spans="1:16" ht="14.25">
      <c r="A13" s="1325" t="s">
        <v>21</v>
      </c>
      <c r="B13" s="1323" t="s">
        <v>1374</v>
      </c>
      <c r="C13" s="1340">
        <v>0</v>
      </c>
      <c r="D13" s="1341">
        <v>0</v>
      </c>
      <c r="E13" s="1340">
        <v>0</v>
      </c>
      <c r="F13" s="1340">
        <v>0</v>
      </c>
      <c r="G13" s="1340">
        <v>0</v>
      </c>
      <c r="I13" s="2092"/>
      <c r="J13" s="2092"/>
      <c r="K13" s="1350" t="s">
        <v>1294</v>
      </c>
      <c r="L13" s="1352">
        <v>0</v>
      </c>
      <c r="M13" s="1351">
        <v>0</v>
      </c>
      <c r="N13" s="1351">
        <v>0</v>
      </c>
      <c r="O13" s="1351">
        <v>0</v>
      </c>
      <c r="P13" s="1351">
        <v>0</v>
      </c>
    </row>
    <row r="14" spans="1:16" ht="14.25">
      <c r="A14" s="1325" t="s">
        <v>22</v>
      </c>
      <c r="B14" s="1323" t="s">
        <v>1374</v>
      </c>
      <c r="C14" s="1340">
        <v>47550</v>
      </c>
      <c r="D14" s="1341">
        <f>E14/C14</f>
        <v>196.31483911671927</v>
      </c>
      <c r="E14" s="1342">
        <v>9334770.600000001</v>
      </c>
      <c r="F14" s="1340">
        <v>909933.92</v>
      </c>
      <c r="G14" s="1340">
        <f>SUM(E14:F14)</f>
        <v>10244704.520000001</v>
      </c>
      <c r="I14" s="2088" t="s">
        <v>17</v>
      </c>
      <c r="J14" s="2088" t="s">
        <v>1299</v>
      </c>
      <c r="K14" s="1347" t="s">
        <v>1374</v>
      </c>
      <c r="L14" s="1349">
        <v>1740</v>
      </c>
      <c r="M14" s="1349">
        <f>N14/L14</f>
        <v>398.2362068965517</v>
      </c>
      <c r="N14" s="1349">
        <v>692931</v>
      </c>
      <c r="O14" s="1349">
        <v>138586.2</v>
      </c>
      <c r="P14" s="1349">
        <v>831517.2</v>
      </c>
    </row>
    <row r="15" spans="1:16" ht="14.25">
      <c r="A15" s="1325" t="s">
        <v>23</v>
      </c>
      <c r="B15" s="1323" t="s">
        <v>1374</v>
      </c>
      <c r="C15" s="1340">
        <v>135136</v>
      </c>
      <c r="D15" s="1341">
        <f>E15/C15</f>
        <v>168.72544888112714</v>
      </c>
      <c r="E15" s="1342">
        <v>22800882.259999998</v>
      </c>
      <c r="F15" s="1340">
        <v>2958515.396</v>
      </c>
      <c r="G15" s="1340">
        <f>SUM(E15:F15)</f>
        <v>25759397.656</v>
      </c>
      <c r="I15" s="2092"/>
      <c r="J15" s="2092"/>
      <c r="K15" s="1350" t="s">
        <v>1294</v>
      </c>
      <c r="L15" s="1352">
        <f>SUM(L12:L14)</f>
        <v>1740</v>
      </c>
      <c r="M15" s="1351">
        <f>N15/L15</f>
        <v>291.3696551724138</v>
      </c>
      <c r="N15" s="1351">
        <v>506983.2</v>
      </c>
      <c r="O15" s="1351">
        <v>101396.64000000001</v>
      </c>
      <c r="P15" s="1351">
        <v>608379.84</v>
      </c>
    </row>
    <row r="16" spans="1:16" ht="14.25">
      <c r="A16" s="1346" t="s">
        <v>1268</v>
      </c>
      <c r="B16" s="1326" t="s">
        <v>1374</v>
      </c>
      <c r="C16" s="1343">
        <f>SUM(C4:C15)</f>
        <v>194536</v>
      </c>
      <c r="D16" s="1343">
        <f>E16/C16</f>
        <v>173.8728966254061</v>
      </c>
      <c r="E16" s="1343">
        <f>SUM(E4:E15)</f>
        <v>33824537.81792</v>
      </c>
      <c r="F16" s="1343">
        <f>SUM(F4:F15)</f>
        <v>4159415.5075840005</v>
      </c>
      <c r="G16" s="1343">
        <f>SUM(G4:G15)</f>
        <v>37983953.325504005</v>
      </c>
      <c r="I16" s="2088" t="s">
        <v>18</v>
      </c>
      <c r="J16" s="2088" t="s">
        <v>1300</v>
      </c>
      <c r="K16" s="1347" t="s">
        <v>1374</v>
      </c>
      <c r="L16" s="1349">
        <v>3400</v>
      </c>
      <c r="M16" s="1349">
        <f>N16/L16</f>
        <v>317.1941176470588</v>
      </c>
      <c r="N16" s="1349">
        <v>1078460</v>
      </c>
      <c r="O16" s="1349">
        <v>215692</v>
      </c>
      <c r="P16" s="1349">
        <f>SUM(N16:O16)</f>
        <v>1294152</v>
      </c>
    </row>
    <row r="17" spans="9:16" ht="14.25">
      <c r="I17" s="2092"/>
      <c r="J17" s="2092"/>
      <c r="K17" s="1350" t="s">
        <v>1294</v>
      </c>
      <c r="L17" s="1352">
        <v>3400</v>
      </c>
      <c r="M17" s="1351">
        <f>N17/L17</f>
        <v>281.17432352941177</v>
      </c>
      <c r="N17" s="1351">
        <v>955992.7</v>
      </c>
      <c r="O17" s="1351">
        <v>139636.22</v>
      </c>
      <c r="P17" s="1351">
        <f>SUM(N17:O17)</f>
        <v>1095628.92</v>
      </c>
    </row>
    <row r="18" spans="1:16" ht="14.25">
      <c r="A18" s="2094" t="s">
        <v>1384</v>
      </c>
      <c r="B18" s="2094"/>
      <c r="C18" s="2094"/>
      <c r="D18" s="2094"/>
      <c r="E18" s="2094"/>
      <c r="F18" s="2094"/>
      <c r="G18" s="2094"/>
      <c r="I18" s="2088" t="s">
        <v>19</v>
      </c>
      <c r="J18" s="2088" t="s">
        <v>1301</v>
      </c>
      <c r="K18" s="1347" t="s">
        <v>1374</v>
      </c>
      <c r="L18" s="1349">
        <v>900</v>
      </c>
      <c r="M18" s="1349">
        <f>N18/L18</f>
        <v>600.9129999999999</v>
      </c>
      <c r="N18" s="1349">
        <v>540821.7</v>
      </c>
      <c r="O18" s="1349">
        <v>108164.34</v>
      </c>
      <c r="P18" s="1349">
        <v>648986.0399999999</v>
      </c>
    </row>
    <row r="19" spans="1:16" ht="15">
      <c r="A19" s="2093" t="s">
        <v>1276</v>
      </c>
      <c r="B19" s="1322" t="s">
        <v>1255</v>
      </c>
      <c r="C19" s="1327" t="s">
        <v>1256</v>
      </c>
      <c r="D19" s="1327" t="s">
        <v>1257</v>
      </c>
      <c r="E19" s="1327" t="s">
        <v>1258</v>
      </c>
      <c r="F19" s="1328" t="s">
        <v>1259</v>
      </c>
      <c r="G19" s="1328" t="s">
        <v>1260</v>
      </c>
      <c r="I19" s="2092"/>
      <c r="J19" s="2092"/>
      <c r="K19" s="1350" t="s">
        <v>1294</v>
      </c>
      <c r="L19" s="1352">
        <v>720</v>
      </c>
      <c r="M19" s="1351">
        <f>N19/L19</f>
        <v>525.6875</v>
      </c>
      <c r="N19" s="1351">
        <v>378495</v>
      </c>
      <c r="O19" s="1351">
        <v>75699</v>
      </c>
      <c r="P19" s="1351">
        <v>454194</v>
      </c>
    </row>
    <row r="20" spans="1:16" ht="14.25">
      <c r="A20" s="2093"/>
      <c r="B20" s="1329" t="s">
        <v>1375</v>
      </c>
      <c r="C20" s="1330">
        <v>150</v>
      </c>
      <c r="D20" s="1331">
        <v>101.15</v>
      </c>
      <c r="E20" s="1332">
        <v>15172.5</v>
      </c>
      <c r="F20" s="1331">
        <f>E20*20%</f>
        <v>3034.5</v>
      </c>
      <c r="G20" s="1331">
        <f>E20+F20</f>
        <v>18207</v>
      </c>
      <c r="I20" s="2088" t="s">
        <v>20</v>
      </c>
      <c r="J20" s="2088" t="s">
        <v>1302</v>
      </c>
      <c r="K20" s="1347" t="s">
        <v>1374</v>
      </c>
      <c r="L20" s="1349">
        <v>600</v>
      </c>
      <c r="M20" s="1349">
        <f>N20/L20</f>
        <v>600.9130000000001</v>
      </c>
      <c r="N20" s="1349">
        <v>360547.80000000005</v>
      </c>
      <c r="O20" s="1349">
        <f>N20*0.2</f>
        <v>72109.56000000001</v>
      </c>
      <c r="P20" s="1349">
        <f>SUM(N20:O20)</f>
        <v>432657.36000000004</v>
      </c>
    </row>
    <row r="21" spans="1:16" ht="14.25">
      <c r="A21" s="2093"/>
      <c r="B21" s="2095" t="s">
        <v>1283</v>
      </c>
      <c r="C21" s="748">
        <v>2400</v>
      </c>
      <c r="D21" s="1331">
        <v>165.170037</v>
      </c>
      <c r="E21" s="1332">
        <v>396408.0888</v>
      </c>
      <c r="F21" s="1331">
        <f>E21*20%</f>
        <v>79281.61776000001</v>
      </c>
      <c r="G21" s="1331">
        <f aca="true" t="shared" si="0" ref="G21:G28">E21+F21</f>
        <v>475689.70656</v>
      </c>
      <c r="I21" s="2092"/>
      <c r="J21" s="2092"/>
      <c r="K21" s="1350" t="s">
        <v>1294</v>
      </c>
      <c r="L21" s="1352">
        <v>780</v>
      </c>
      <c r="M21" s="1351">
        <f>N21/L21</f>
        <v>525.8461538461538</v>
      </c>
      <c r="N21" s="1351">
        <v>410160</v>
      </c>
      <c r="O21" s="1351">
        <f>N21*0.2</f>
        <v>82032</v>
      </c>
      <c r="P21" s="1351">
        <f>SUM(N21:O21)</f>
        <v>492192</v>
      </c>
    </row>
    <row r="22" spans="1:16" ht="14.25">
      <c r="A22" s="2093"/>
      <c r="B22" s="2096"/>
      <c r="C22" s="748">
        <v>300</v>
      </c>
      <c r="D22" s="1331">
        <v>55.56996</v>
      </c>
      <c r="E22" s="1332">
        <v>16670.988</v>
      </c>
      <c r="F22" s="1331">
        <f aca="true" t="shared" si="1" ref="F22:F29">E22*20%</f>
        <v>3334.1976000000004</v>
      </c>
      <c r="G22" s="1331">
        <f t="shared" si="0"/>
        <v>20005.1856</v>
      </c>
      <c r="I22" s="2088" t="s">
        <v>21</v>
      </c>
      <c r="J22" s="2088" t="s">
        <v>1337</v>
      </c>
      <c r="K22" s="1347" t="s">
        <v>1374</v>
      </c>
      <c r="L22" s="1349">
        <v>0</v>
      </c>
      <c r="M22" s="1349">
        <v>0</v>
      </c>
      <c r="N22" s="1349">
        <v>0</v>
      </c>
      <c r="O22" s="1349">
        <v>0</v>
      </c>
      <c r="P22" s="1349">
        <v>0</v>
      </c>
    </row>
    <row r="23" spans="1:16" ht="14.25">
      <c r="A23" s="2093"/>
      <c r="B23" s="1329" t="s">
        <v>1263</v>
      </c>
      <c r="C23" s="748">
        <v>1800</v>
      </c>
      <c r="D23" s="1331">
        <v>130.03</v>
      </c>
      <c r="E23" s="1332">
        <v>234054</v>
      </c>
      <c r="F23" s="1331">
        <v>0</v>
      </c>
      <c r="G23" s="1331">
        <f t="shared" si="0"/>
        <v>234054</v>
      </c>
      <c r="I23" s="2092"/>
      <c r="J23" s="2092"/>
      <c r="K23" s="1350" t="s">
        <v>1294</v>
      </c>
      <c r="L23" s="1352">
        <v>0</v>
      </c>
      <c r="M23" s="1351">
        <v>0</v>
      </c>
      <c r="N23" s="1351">
        <v>0</v>
      </c>
      <c r="O23" s="1351">
        <v>0</v>
      </c>
      <c r="P23" s="1351">
        <v>0</v>
      </c>
    </row>
    <row r="24" spans="1:16" ht="14.25">
      <c r="A24" s="2093"/>
      <c r="B24" s="1329" t="s">
        <v>1265</v>
      </c>
      <c r="C24" s="748">
        <v>2448</v>
      </c>
      <c r="D24" s="1331">
        <v>158.27</v>
      </c>
      <c r="E24" s="1332">
        <v>387444.96</v>
      </c>
      <c r="F24" s="1331">
        <f t="shared" si="1"/>
        <v>77488.99200000001</v>
      </c>
      <c r="G24" s="1331">
        <f>E24+F24</f>
        <v>464933.95200000005</v>
      </c>
      <c r="I24" s="2088" t="s">
        <v>22</v>
      </c>
      <c r="J24" s="2088" t="s">
        <v>1364</v>
      </c>
      <c r="K24" s="1347" t="s">
        <v>1374</v>
      </c>
      <c r="L24" s="1349">
        <v>0</v>
      </c>
      <c r="M24" s="1349">
        <v>0</v>
      </c>
      <c r="N24" s="1349">
        <v>0</v>
      </c>
      <c r="O24" s="1349">
        <v>0</v>
      </c>
      <c r="P24" s="1349">
        <v>0</v>
      </c>
    </row>
    <row r="25" spans="1:16" ht="14.25">
      <c r="A25" s="2093"/>
      <c r="B25" s="1329" t="s">
        <v>1272</v>
      </c>
      <c r="C25" s="748">
        <v>600</v>
      </c>
      <c r="D25" s="1331">
        <v>75</v>
      </c>
      <c r="E25" s="1332">
        <v>45000</v>
      </c>
      <c r="F25" s="1331">
        <f t="shared" si="1"/>
        <v>9000</v>
      </c>
      <c r="G25" s="1331">
        <f t="shared" si="0"/>
        <v>54000</v>
      </c>
      <c r="I25" s="2092"/>
      <c r="J25" s="2092"/>
      <c r="K25" s="1350" t="s">
        <v>1294</v>
      </c>
      <c r="L25" s="1352">
        <v>132</v>
      </c>
      <c r="M25" s="1351">
        <f>N25/L25</f>
        <v>215.79181818181817</v>
      </c>
      <c r="N25" s="1351">
        <v>28484.52</v>
      </c>
      <c r="O25" s="1351">
        <v>0</v>
      </c>
      <c r="P25" s="1351">
        <f>SUM(N25:O25)</f>
        <v>28484.52</v>
      </c>
    </row>
    <row r="26" spans="1:16" ht="14.25">
      <c r="A26" s="2093"/>
      <c r="B26" s="1329" t="s">
        <v>125</v>
      </c>
      <c r="C26" s="748">
        <v>1920</v>
      </c>
      <c r="D26" s="1331">
        <v>152.700016</v>
      </c>
      <c r="E26" s="1332">
        <v>293184.03072000004</v>
      </c>
      <c r="F26" s="1331">
        <f t="shared" si="1"/>
        <v>58636.80614400001</v>
      </c>
      <c r="G26" s="1331">
        <f t="shared" si="0"/>
        <v>351820.83686400007</v>
      </c>
      <c r="I26" s="2088" t="s">
        <v>23</v>
      </c>
      <c r="J26" s="2088" t="s">
        <v>1365</v>
      </c>
      <c r="K26" s="1347" t="s">
        <v>1374</v>
      </c>
      <c r="L26" s="1349">
        <v>0</v>
      </c>
      <c r="M26" s="1349">
        <v>0</v>
      </c>
      <c r="N26" s="1349">
        <v>0</v>
      </c>
      <c r="O26" s="1349">
        <v>0</v>
      </c>
      <c r="P26" s="1349">
        <v>0</v>
      </c>
    </row>
    <row r="27" spans="1:16" ht="14.25">
      <c r="A27" s="2093"/>
      <c r="B27" s="1329" t="s">
        <v>1267</v>
      </c>
      <c r="C27" s="748">
        <v>480</v>
      </c>
      <c r="D27" s="1331">
        <v>158.32998</v>
      </c>
      <c r="E27" s="1332">
        <v>75998.3904</v>
      </c>
      <c r="F27" s="1331">
        <f t="shared" si="1"/>
        <v>15199.678080000002</v>
      </c>
      <c r="G27" s="1331">
        <f t="shared" si="0"/>
        <v>91198.06848</v>
      </c>
      <c r="I27" s="2092"/>
      <c r="J27" s="2092"/>
      <c r="K27" s="1350" t="s">
        <v>1294</v>
      </c>
      <c r="L27" s="1352">
        <v>0</v>
      </c>
      <c r="M27" s="1351">
        <v>0</v>
      </c>
      <c r="N27" s="1351">
        <v>0</v>
      </c>
      <c r="O27" s="1351">
        <v>0</v>
      </c>
      <c r="P27" s="1351">
        <v>0</v>
      </c>
    </row>
    <row r="28" spans="1:16" ht="14.25">
      <c r="A28" s="2093"/>
      <c r="B28" s="2095" t="s">
        <v>1376</v>
      </c>
      <c r="C28" s="748">
        <v>1152</v>
      </c>
      <c r="D28" s="1331">
        <v>151</v>
      </c>
      <c r="E28" s="1332">
        <v>173952</v>
      </c>
      <c r="F28" s="1331">
        <f t="shared" si="1"/>
        <v>34790.4</v>
      </c>
      <c r="G28" s="1331">
        <f t="shared" si="0"/>
        <v>208742.4</v>
      </c>
      <c r="I28" s="2090" t="s">
        <v>1268</v>
      </c>
      <c r="J28" s="2090" t="s">
        <v>1386</v>
      </c>
      <c r="K28" s="1353" t="s">
        <v>1374</v>
      </c>
      <c r="L28" s="1354">
        <f>L8+L6+L4+L10+L12+L14+L16+L18+L20+L22+L24+L26</f>
        <v>7480</v>
      </c>
      <c r="M28" s="1354">
        <f>N28/L28</f>
        <v>395.3423128342246</v>
      </c>
      <c r="N28" s="1354">
        <f aca="true" t="shared" si="2" ref="N28:P29">N8+N6+N4+N10+N12+N14+N16+N18+N20+N22+N24+N26</f>
        <v>2957160.5</v>
      </c>
      <c r="O28" s="1354">
        <f t="shared" si="2"/>
        <v>534552.1000000001</v>
      </c>
      <c r="P28" s="1354">
        <f t="shared" si="2"/>
        <v>3491712.6</v>
      </c>
    </row>
    <row r="29" spans="1:16" ht="14.25">
      <c r="A29" s="2093"/>
      <c r="B29" s="2096"/>
      <c r="C29" s="748">
        <v>600</v>
      </c>
      <c r="D29" s="1331">
        <v>85</v>
      </c>
      <c r="E29" s="1332">
        <v>51000</v>
      </c>
      <c r="F29" s="1331">
        <f t="shared" si="1"/>
        <v>10200</v>
      </c>
      <c r="G29" s="1331">
        <f>E29+F29</f>
        <v>61200</v>
      </c>
      <c r="I29" s="2091"/>
      <c r="J29" s="2091"/>
      <c r="K29" s="1355" t="s">
        <v>1294</v>
      </c>
      <c r="L29" s="1356">
        <f>L9+L7+L5+L11+L13+L15+L17+L19+L21+L23+L25+L27</f>
        <v>6772</v>
      </c>
      <c r="M29" s="1356">
        <f>N29/L29</f>
        <v>336.6974926166568</v>
      </c>
      <c r="N29" s="1356">
        <f t="shared" si="2"/>
        <v>2280115.42</v>
      </c>
      <c r="O29" s="1356">
        <f t="shared" si="2"/>
        <v>398763.86</v>
      </c>
      <c r="P29" s="1356">
        <f t="shared" si="2"/>
        <v>2678879.28</v>
      </c>
    </row>
    <row r="30" spans="1:7" ht="14.25">
      <c r="A30" s="2093"/>
      <c r="B30" s="1333" t="s">
        <v>1268</v>
      </c>
      <c r="C30" s="1334">
        <f>SUM(C20:C29)</f>
        <v>11850</v>
      </c>
      <c r="D30" s="1334">
        <f>E30/C30</f>
        <v>142.52193737721518</v>
      </c>
      <c r="E30" s="1334">
        <f>SUM(E20:E29)</f>
        <v>1688884.95792</v>
      </c>
      <c r="F30" s="1334">
        <f>SUM(F20:F29)</f>
        <v>290966.1915840001</v>
      </c>
      <c r="G30" s="1334">
        <f>SUM(G20:G29)</f>
        <v>1979851.1495039999</v>
      </c>
    </row>
    <row r="32" spans="1:7" ht="15">
      <c r="A32" s="2093" t="s">
        <v>1366</v>
      </c>
      <c r="B32" s="1322" t="s">
        <v>1255</v>
      </c>
      <c r="C32" s="1327" t="s">
        <v>1256</v>
      </c>
      <c r="D32" s="1327" t="s">
        <v>1257</v>
      </c>
      <c r="E32" s="1327" t="s">
        <v>1258</v>
      </c>
      <c r="F32" s="1328" t="s">
        <v>1259</v>
      </c>
      <c r="G32" s="1328" t="s">
        <v>1260</v>
      </c>
    </row>
    <row r="33" spans="1:7" ht="14.25">
      <c r="A33" s="2093"/>
      <c r="B33" s="1335" t="s">
        <v>116</v>
      </c>
      <c r="C33" s="1330">
        <v>910</v>
      </c>
      <c r="D33" s="1331">
        <f>E33/C33</f>
        <v>101.35</v>
      </c>
      <c r="E33" s="1332">
        <v>92228.5</v>
      </c>
      <c r="F33" s="1331">
        <f>E33*0.2</f>
        <v>18445.7</v>
      </c>
      <c r="G33" s="1331">
        <f>E33+F33</f>
        <v>110674.2</v>
      </c>
    </row>
    <row r="34" spans="1:7" ht="14.25">
      <c r="A34" s="2093"/>
      <c r="B34" s="1336" t="s">
        <v>1367</v>
      </c>
      <c r="C34" s="748">
        <v>230</v>
      </c>
      <c r="D34" s="1331">
        <f aca="true" t="shared" si="3" ref="D34:D41">E34/C34</f>
        <v>147</v>
      </c>
      <c r="E34" s="1332">
        <v>33810</v>
      </c>
      <c r="F34" s="1331">
        <v>0</v>
      </c>
      <c r="G34" s="1331">
        <f aca="true" t="shared" si="4" ref="G34:G41">E34+F34</f>
        <v>33810</v>
      </c>
    </row>
    <row r="35" spans="1:7" ht="14.25">
      <c r="A35" s="2093"/>
      <c r="B35" s="1337" t="s">
        <v>1263</v>
      </c>
      <c r="C35" s="748">
        <v>22100</v>
      </c>
      <c r="D35" s="1331">
        <f t="shared" si="3"/>
        <v>214.99054298642534</v>
      </c>
      <c r="E35" s="1332">
        <v>4751291</v>
      </c>
      <c r="F35" s="1331">
        <v>0</v>
      </c>
      <c r="G35" s="1331">
        <f t="shared" si="4"/>
        <v>4751291</v>
      </c>
    </row>
    <row r="36" spans="1:7" ht="14.25">
      <c r="A36" s="2093"/>
      <c r="B36" s="1335" t="s">
        <v>1377</v>
      </c>
      <c r="C36" s="748">
        <v>4470</v>
      </c>
      <c r="D36" s="1331">
        <f t="shared" si="3"/>
        <v>118.0665548098434</v>
      </c>
      <c r="E36" s="1332">
        <v>527757.5</v>
      </c>
      <c r="F36" s="1331">
        <f aca="true" t="shared" si="5" ref="F36:F41">E36*0.2</f>
        <v>105551.5</v>
      </c>
      <c r="G36" s="1331">
        <f t="shared" si="4"/>
        <v>633309</v>
      </c>
    </row>
    <row r="37" spans="1:7" ht="14.25">
      <c r="A37" s="2093"/>
      <c r="B37" s="1335" t="s">
        <v>1265</v>
      </c>
      <c r="C37" s="748">
        <v>5280</v>
      </c>
      <c r="D37" s="1331">
        <f t="shared" si="3"/>
        <v>156.77545454545455</v>
      </c>
      <c r="E37" s="1332">
        <v>827774.4</v>
      </c>
      <c r="F37" s="1331">
        <f t="shared" si="5"/>
        <v>165554.88</v>
      </c>
      <c r="G37" s="1331">
        <f t="shared" si="4"/>
        <v>993329.28</v>
      </c>
    </row>
    <row r="38" spans="1:7" ht="14.25">
      <c r="A38" s="2093"/>
      <c r="B38" s="1335" t="s">
        <v>1272</v>
      </c>
      <c r="C38" s="748">
        <v>4200</v>
      </c>
      <c r="D38" s="1331">
        <f t="shared" si="3"/>
        <v>203</v>
      </c>
      <c r="E38" s="1332">
        <v>852600</v>
      </c>
      <c r="F38" s="1331">
        <f t="shared" si="5"/>
        <v>170520</v>
      </c>
      <c r="G38" s="1331">
        <f t="shared" si="4"/>
        <v>1023120</v>
      </c>
    </row>
    <row r="39" spans="1:7" ht="14.25">
      <c r="A39" s="2093"/>
      <c r="B39" s="1335" t="s">
        <v>1378</v>
      </c>
      <c r="C39" s="748">
        <v>3420</v>
      </c>
      <c r="D39" s="1331">
        <f t="shared" si="3"/>
        <v>204.78947368421052</v>
      </c>
      <c r="E39" s="1332">
        <v>700380</v>
      </c>
      <c r="F39" s="1331">
        <f t="shared" si="5"/>
        <v>140076</v>
      </c>
      <c r="G39" s="1331">
        <f t="shared" si="4"/>
        <v>840456</v>
      </c>
    </row>
    <row r="40" spans="1:7" ht="14.25">
      <c r="A40" s="2093"/>
      <c r="B40" s="1335" t="s">
        <v>1368</v>
      </c>
      <c r="C40" s="748">
        <v>840</v>
      </c>
      <c r="D40" s="1331">
        <f t="shared" si="3"/>
        <v>233.12999999999997</v>
      </c>
      <c r="E40" s="1332">
        <v>195829.19999999998</v>
      </c>
      <c r="F40" s="1331">
        <f t="shared" si="5"/>
        <v>39165.84</v>
      </c>
      <c r="G40" s="1331">
        <f t="shared" si="4"/>
        <v>234995.03999999998</v>
      </c>
    </row>
    <row r="41" spans="1:7" ht="14.25">
      <c r="A41" s="2093"/>
      <c r="B41" s="1336" t="s">
        <v>1273</v>
      </c>
      <c r="C41" s="748">
        <v>6100</v>
      </c>
      <c r="D41" s="1331">
        <f t="shared" si="3"/>
        <v>221.81967213114754</v>
      </c>
      <c r="E41" s="1332">
        <v>1353100</v>
      </c>
      <c r="F41" s="1331">
        <f t="shared" si="5"/>
        <v>270620</v>
      </c>
      <c r="G41" s="1331">
        <f t="shared" si="4"/>
        <v>1623720</v>
      </c>
    </row>
    <row r="42" spans="1:7" ht="14.25">
      <c r="A42" s="2093"/>
      <c r="B42" s="1333" t="s">
        <v>1268</v>
      </c>
      <c r="C42" s="1334">
        <f>SUM(C33:C41)</f>
        <v>47550</v>
      </c>
      <c r="D42" s="1334">
        <f>E42/C42</f>
        <v>196.31483911671927</v>
      </c>
      <c r="E42" s="1334">
        <f>SUM(E33:E41)</f>
        <v>9334770.600000001</v>
      </c>
      <c r="F42" s="1334">
        <f>SUM(F33:F41)</f>
        <v>909933.92</v>
      </c>
      <c r="G42" s="1334">
        <f>SUM(G33:G41)</f>
        <v>10244704.52</v>
      </c>
    </row>
    <row r="44" spans="1:7" ht="15">
      <c r="A44" s="2093" t="s">
        <v>1379</v>
      </c>
      <c r="B44" s="1322" t="s">
        <v>1255</v>
      </c>
      <c r="C44" s="1327" t="s">
        <v>1256</v>
      </c>
      <c r="D44" s="1327" t="s">
        <v>1257</v>
      </c>
      <c r="E44" s="1327" t="s">
        <v>1258</v>
      </c>
      <c r="F44" s="1328" t="s">
        <v>1259</v>
      </c>
      <c r="G44" s="1328" t="s">
        <v>1260</v>
      </c>
    </row>
    <row r="45" spans="1:7" ht="14.25">
      <c r="A45" s="2093"/>
      <c r="B45" s="1338" t="s">
        <v>116</v>
      </c>
      <c r="C45" s="1330">
        <v>8252</v>
      </c>
      <c r="D45" s="1331">
        <v>145.19969461948617</v>
      </c>
      <c r="E45" s="1332">
        <v>1198187.88</v>
      </c>
      <c r="F45" s="1331">
        <f>E45*0.2</f>
        <v>239637.576</v>
      </c>
      <c r="G45" s="1331">
        <f>SUM(E45:F45)</f>
        <v>1437825.4559999998</v>
      </c>
    </row>
    <row r="46" spans="1:7" ht="14.25" customHeight="1">
      <c r="A46" s="2093"/>
      <c r="B46" s="1339" t="s">
        <v>1380</v>
      </c>
      <c r="C46" s="748">
        <v>8400</v>
      </c>
      <c r="D46" s="1331">
        <v>120.81</v>
      </c>
      <c r="E46" s="1332">
        <v>1014804</v>
      </c>
      <c r="F46" s="1331">
        <f>E46*0.2</f>
        <v>202960.80000000002</v>
      </c>
      <c r="G46" s="1331">
        <f aca="true" t="shared" si="6" ref="G46:G55">SUM(E46:F46)</f>
        <v>1217764.8</v>
      </c>
    </row>
    <row r="47" spans="1:7" ht="14.25">
      <c r="A47" s="2093"/>
      <c r="B47" s="1339" t="s">
        <v>1367</v>
      </c>
      <c r="C47" s="748">
        <v>480</v>
      </c>
      <c r="D47" s="1331">
        <v>222.69</v>
      </c>
      <c r="E47" s="1332">
        <v>106891.2</v>
      </c>
      <c r="F47" s="1331">
        <v>0</v>
      </c>
      <c r="G47" s="1331">
        <f t="shared" si="6"/>
        <v>106891.2</v>
      </c>
    </row>
    <row r="48" spans="1:7" ht="14.25">
      <c r="A48" s="2093"/>
      <c r="B48" s="1338" t="s">
        <v>1263</v>
      </c>
      <c r="C48" s="748">
        <v>43048</v>
      </c>
      <c r="D48" s="1331">
        <v>176.21075264820666</v>
      </c>
      <c r="E48" s="1332">
        <v>7585520.48</v>
      </c>
      <c r="F48" s="1331">
        <v>0</v>
      </c>
      <c r="G48" s="1331">
        <f t="shared" si="6"/>
        <v>7585520.48</v>
      </c>
    </row>
    <row r="49" spans="1:7" ht="14.25">
      <c r="A49" s="2093"/>
      <c r="B49" s="1338" t="s">
        <v>1381</v>
      </c>
      <c r="C49" s="748">
        <v>1176</v>
      </c>
      <c r="D49" s="1331">
        <v>268.61700680272105</v>
      </c>
      <c r="E49" s="1332">
        <v>315893.6</v>
      </c>
      <c r="F49" s="1331">
        <v>0</v>
      </c>
      <c r="G49" s="1331">
        <f t="shared" si="6"/>
        <v>315893.6</v>
      </c>
    </row>
    <row r="50" spans="1:7" ht="14.25">
      <c r="A50" s="2093"/>
      <c r="B50" s="1338" t="s">
        <v>1377</v>
      </c>
      <c r="C50" s="748">
        <v>9650</v>
      </c>
      <c r="D50" s="1331">
        <v>98.56373056994819</v>
      </c>
      <c r="E50" s="1332">
        <v>951140</v>
      </c>
      <c r="F50" s="1331">
        <f aca="true" t="shared" si="7" ref="F50:F55">E50*0.2</f>
        <v>190228</v>
      </c>
      <c r="G50" s="1331">
        <f t="shared" si="6"/>
        <v>1141368</v>
      </c>
    </row>
    <row r="51" spans="1:7" ht="14.25">
      <c r="A51" s="2093"/>
      <c r="B51" s="1338" t="s">
        <v>1265</v>
      </c>
      <c r="C51" s="748">
        <v>25400</v>
      </c>
      <c r="D51" s="1331">
        <v>199.4552440944882</v>
      </c>
      <c r="E51" s="1332">
        <v>5066163.2</v>
      </c>
      <c r="F51" s="1331">
        <f t="shared" si="7"/>
        <v>1013232.6400000001</v>
      </c>
      <c r="G51" s="1331">
        <f t="shared" si="6"/>
        <v>6079395.84</v>
      </c>
    </row>
    <row r="52" spans="1:7" ht="14.25">
      <c r="A52" s="2093"/>
      <c r="B52" s="1338" t="s">
        <v>1382</v>
      </c>
      <c r="C52" s="748">
        <v>25680</v>
      </c>
      <c r="D52" s="1331">
        <v>179.76869158878506</v>
      </c>
      <c r="E52" s="1332">
        <v>4616460</v>
      </c>
      <c r="F52" s="1331">
        <f t="shared" si="7"/>
        <v>923292</v>
      </c>
      <c r="G52" s="1331">
        <f t="shared" si="6"/>
        <v>5539752</v>
      </c>
    </row>
    <row r="53" spans="1:7" ht="14.25">
      <c r="A53" s="2093"/>
      <c r="B53" s="1339" t="s">
        <v>1383</v>
      </c>
      <c r="C53" s="748">
        <v>900</v>
      </c>
      <c r="D53" s="1331">
        <v>204.66666666666666</v>
      </c>
      <c r="E53" s="1332">
        <v>184200</v>
      </c>
      <c r="F53" s="1331">
        <f t="shared" si="7"/>
        <v>36840</v>
      </c>
      <c r="G53" s="1331">
        <f t="shared" si="6"/>
        <v>221040</v>
      </c>
    </row>
    <row r="54" spans="1:7" ht="14.25">
      <c r="A54" s="2093"/>
      <c r="B54" s="1339" t="s">
        <v>1368</v>
      </c>
      <c r="C54" s="748">
        <v>3750</v>
      </c>
      <c r="D54" s="1331">
        <v>196.48584000000002</v>
      </c>
      <c r="E54" s="1332">
        <v>736821.9000000001</v>
      </c>
      <c r="F54" s="1331">
        <f t="shared" si="7"/>
        <v>147364.38000000003</v>
      </c>
      <c r="G54" s="1331">
        <f t="shared" si="6"/>
        <v>884186.2800000001</v>
      </c>
    </row>
    <row r="55" spans="1:7" ht="15" thickBot="1">
      <c r="A55" s="2093"/>
      <c r="B55" s="1339" t="s">
        <v>1273</v>
      </c>
      <c r="C55" s="748">
        <v>8400</v>
      </c>
      <c r="D55" s="1331">
        <v>122</v>
      </c>
      <c r="E55" s="1332">
        <v>1024800</v>
      </c>
      <c r="F55" s="1331">
        <f t="shared" si="7"/>
        <v>204960</v>
      </c>
      <c r="G55" s="1331">
        <f t="shared" si="6"/>
        <v>1229760</v>
      </c>
    </row>
    <row r="56" spans="1:10" ht="16.5" thickBot="1">
      <c r="A56" s="2093"/>
      <c r="B56" s="1333" t="s">
        <v>1268</v>
      </c>
      <c r="C56" s="1334">
        <f>SUM(C45:C55)</f>
        <v>135136</v>
      </c>
      <c r="D56" s="1334">
        <f>E56/C56</f>
        <v>168.72544888112714</v>
      </c>
      <c r="E56" s="1334">
        <f>SUM(E45:E55)</f>
        <v>22800882.259999998</v>
      </c>
      <c r="F56" s="1334">
        <f>SUM(F45:F55)</f>
        <v>2958515.396</v>
      </c>
      <c r="G56" s="1334">
        <f>SUM(G45:G55)</f>
        <v>25759397.656000003</v>
      </c>
      <c r="I56" s="2020" t="s">
        <v>1433</v>
      </c>
      <c r="J56" s="2021"/>
    </row>
  </sheetData>
  <sheetProtection/>
  <mergeCells count="38">
    <mergeCell ref="A32:A42"/>
    <mergeCell ref="A44:A56"/>
    <mergeCell ref="A18:G18"/>
    <mergeCell ref="A1:G1"/>
    <mergeCell ref="A19:A30"/>
    <mergeCell ref="B21:B22"/>
    <mergeCell ref="B28:B29"/>
    <mergeCell ref="I6:I7"/>
    <mergeCell ref="J6:J7"/>
    <mergeCell ref="I8:I9"/>
    <mergeCell ref="I14:I15"/>
    <mergeCell ref="J14:J15"/>
    <mergeCell ref="J8:J9"/>
    <mergeCell ref="I10:I11"/>
    <mergeCell ref="J10:J11"/>
    <mergeCell ref="I12:I13"/>
    <mergeCell ref="J12:J13"/>
    <mergeCell ref="J24:J25"/>
    <mergeCell ref="I26:I27"/>
    <mergeCell ref="J26:J27"/>
    <mergeCell ref="I16:I17"/>
    <mergeCell ref="J16:J17"/>
    <mergeCell ref="I56:J56"/>
    <mergeCell ref="I1:P1"/>
    <mergeCell ref="I2:I3"/>
    <mergeCell ref="J2:J3"/>
    <mergeCell ref="K2:K3"/>
    <mergeCell ref="I4:I5"/>
    <mergeCell ref="J4:J5"/>
    <mergeCell ref="I28:I29"/>
    <mergeCell ref="J28:J29"/>
    <mergeCell ref="I18:I19"/>
    <mergeCell ref="J18:J19"/>
    <mergeCell ref="I20:I21"/>
    <mergeCell ref="J20:J21"/>
    <mergeCell ref="I22:I23"/>
    <mergeCell ref="J22:J23"/>
    <mergeCell ref="I24:I25"/>
  </mergeCells>
  <printOptions/>
  <pageMargins left="0.7" right="0.7" top="0.75" bottom="0.75" header="0.3" footer="0.3"/>
  <pageSetup orientation="portrait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SheetLayoutView="84" zoomScalePageLayoutView="0" workbookViewId="0" topLeftCell="A1">
      <selection activeCell="B21" sqref="B21"/>
    </sheetView>
  </sheetViews>
  <sheetFormatPr defaultColWidth="9.140625" defaultRowHeight="15"/>
  <cols>
    <col min="1" max="1" width="5.57421875" style="462" bestFit="1" customWidth="1"/>
    <col min="2" max="2" width="97.7109375" style="462" customWidth="1"/>
    <col min="3" max="3" width="19.421875" style="487" bestFit="1" customWidth="1"/>
    <col min="4" max="4" width="21.28125" style="462" customWidth="1"/>
    <col min="5" max="16384" width="9.140625" style="462" customWidth="1"/>
  </cols>
  <sheetData>
    <row r="1" spans="1:4" ht="15" thickBot="1">
      <c r="A1" s="1689" t="s">
        <v>1423</v>
      </c>
      <c r="B1" s="1690"/>
      <c r="C1" s="1690"/>
      <c r="D1" s="1691"/>
    </row>
    <row r="2" spans="1:4" ht="14.25">
      <c r="A2" s="479">
        <v>1</v>
      </c>
      <c r="B2" s="463" t="s">
        <v>782</v>
      </c>
      <c r="C2" s="464" t="s">
        <v>779</v>
      </c>
      <c r="D2" s="1018">
        <v>7044604</v>
      </c>
    </row>
    <row r="3" spans="1:4" ht="15" thickBot="1">
      <c r="A3" s="598">
        <v>2</v>
      </c>
      <c r="B3" s="465" t="s">
        <v>775</v>
      </c>
      <c r="C3" s="466"/>
      <c r="D3" s="870">
        <v>4951426</v>
      </c>
    </row>
    <row r="4" spans="1:4" ht="14.25">
      <c r="A4" s="467">
        <v>3</v>
      </c>
      <c r="B4" s="468" t="s">
        <v>774</v>
      </c>
      <c r="C4" s="469" t="s">
        <v>1011</v>
      </c>
      <c r="D4" s="871">
        <f>D5+D6+D7+D8</f>
        <v>2075471</v>
      </c>
    </row>
    <row r="5" spans="1:4" ht="14.25">
      <c r="A5" s="470">
        <v>3.1</v>
      </c>
      <c r="B5" s="471" t="s">
        <v>768</v>
      </c>
      <c r="C5" s="472"/>
      <c r="D5" s="872">
        <v>853414</v>
      </c>
    </row>
    <row r="6" spans="1:4" ht="14.25">
      <c r="A6" s="470">
        <v>3.2</v>
      </c>
      <c r="B6" s="471" t="s">
        <v>769</v>
      </c>
      <c r="C6" s="472"/>
      <c r="D6" s="947">
        <v>1130404</v>
      </c>
    </row>
    <row r="7" spans="1:4" ht="14.25">
      <c r="A7" s="595">
        <v>3.3</v>
      </c>
      <c r="B7" s="596" t="s">
        <v>770</v>
      </c>
      <c r="C7" s="466"/>
      <c r="D7" s="870">
        <v>91440</v>
      </c>
    </row>
    <row r="8" spans="1:4" ht="15" thickBot="1">
      <c r="A8" s="473">
        <v>3.4</v>
      </c>
      <c r="B8" s="474" t="s">
        <v>1014</v>
      </c>
      <c r="C8" s="475"/>
      <c r="D8" s="873">
        <v>213</v>
      </c>
    </row>
    <row r="9" spans="1:4" ht="14.25">
      <c r="A9" s="467">
        <v>4</v>
      </c>
      <c r="B9" s="468" t="s">
        <v>1201</v>
      </c>
      <c r="C9" s="469" t="s">
        <v>963</v>
      </c>
      <c r="D9" s="871">
        <f>D10+D11+D12+D13+D14</f>
        <v>2075471</v>
      </c>
    </row>
    <row r="10" spans="1:4" ht="14.25">
      <c r="A10" s="476">
        <v>4.1</v>
      </c>
      <c r="B10" s="477" t="s">
        <v>751</v>
      </c>
      <c r="C10" s="472"/>
      <c r="D10" s="874">
        <v>567022</v>
      </c>
    </row>
    <row r="11" spans="1:4" ht="15">
      <c r="A11" s="476">
        <v>4.2</v>
      </c>
      <c r="B11" s="477" t="s">
        <v>772</v>
      </c>
      <c r="C11" s="472"/>
      <c r="D11" s="875">
        <v>1457840</v>
      </c>
    </row>
    <row r="12" spans="1:4" ht="14.25">
      <c r="A12" s="476">
        <v>4.4</v>
      </c>
      <c r="B12" s="477" t="s">
        <v>773</v>
      </c>
      <c r="C12" s="472"/>
      <c r="D12" s="872">
        <v>32402</v>
      </c>
    </row>
    <row r="13" spans="1:4" ht="14.25">
      <c r="A13" s="598">
        <v>4.5</v>
      </c>
      <c r="B13" s="478" t="s">
        <v>964</v>
      </c>
      <c r="C13" s="466"/>
      <c r="D13" s="870">
        <v>0</v>
      </c>
    </row>
    <row r="14" spans="1:4" ht="15" thickBot="1">
      <c r="A14" s="481"/>
      <c r="B14" s="658" t="s">
        <v>771</v>
      </c>
      <c r="C14" s="475"/>
      <c r="D14" s="873">
        <v>18207</v>
      </c>
    </row>
    <row r="15" spans="1:4" ht="14.25">
      <c r="A15" s="942"/>
      <c r="B15" s="943"/>
      <c r="C15" s="464"/>
      <c r="D15" s="944"/>
    </row>
    <row r="16" spans="1:4" ht="14.25">
      <c r="A16" s="479">
        <v>7</v>
      </c>
      <c r="B16" s="597" t="s">
        <v>777</v>
      </c>
      <c r="C16" s="464" t="s">
        <v>780</v>
      </c>
      <c r="D16" s="876">
        <f>D2+354379</f>
        <v>7398983</v>
      </c>
    </row>
    <row r="17" spans="1:4" ht="14.25">
      <c r="A17" s="476">
        <v>7.1</v>
      </c>
      <c r="B17" s="477" t="s">
        <v>1311</v>
      </c>
      <c r="C17" s="472"/>
      <c r="D17" s="946">
        <v>6545568</v>
      </c>
    </row>
    <row r="18" spans="1:4" ht="14.25">
      <c r="A18" s="476">
        <v>7.2</v>
      </c>
      <c r="B18" s="477" t="s">
        <v>1424</v>
      </c>
      <c r="C18" s="472"/>
      <c r="D18" s="870">
        <v>499096</v>
      </c>
    </row>
    <row r="19" spans="1:4" ht="14.25">
      <c r="A19" s="476">
        <v>7.4</v>
      </c>
      <c r="B19" s="477" t="s">
        <v>776</v>
      </c>
      <c r="C19" s="472"/>
      <c r="D19" s="877">
        <v>354379</v>
      </c>
    </row>
    <row r="20" spans="1:4" ht="15" thickBot="1">
      <c r="A20" s="482"/>
      <c r="B20" s="483"/>
      <c r="C20" s="480"/>
      <c r="D20" s="1019"/>
    </row>
    <row r="21" spans="1:4" ht="15" thickBot="1">
      <c r="A21" s="484">
        <v>8</v>
      </c>
      <c r="B21" s="485" t="s">
        <v>778</v>
      </c>
      <c r="C21" s="486" t="s">
        <v>781</v>
      </c>
      <c r="D21" s="878">
        <f>D11*100/D16</f>
        <v>19.703248405895785</v>
      </c>
    </row>
    <row r="23" spans="2:4" ht="15">
      <c r="B23" s="1692" t="s">
        <v>1229</v>
      </c>
      <c r="C23" s="1693"/>
      <c r="D23" s="1694"/>
    </row>
  </sheetData>
  <sheetProtection/>
  <mergeCells count="2">
    <mergeCell ref="A1:D1"/>
    <mergeCell ref="B23:D23"/>
  </mergeCells>
  <printOptions/>
  <pageMargins left="0.7" right="0.7" top="0.75" bottom="0.75" header="0.3" footer="0.3"/>
  <pageSetup fitToHeight="1" fitToWidth="1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view="pageBreakPreview" zoomScaleSheetLayoutView="100" zoomScalePageLayoutView="0" workbookViewId="0" topLeftCell="A13">
      <selection activeCell="M47" sqref="M47:M48"/>
    </sheetView>
  </sheetViews>
  <sheetFormatPr defaultColWidth="9.140625" defaultRowHeight="15"/>
  <cols>
    <col min="1" max="1" width="55.28125" style="956" bestFit="1" customWidth="1"/>
    <col min="2" max="2" width="14.421875" style="956" customWidth="1"/>
    <col min="3" max="3" width="8.57421875" style="956" bestFit="1" customWidth="1"/>
    <col min="4" max="5" width="8.7109375" style="956" bestFit="1" customWidth="1"/>
    <col min="6" max="7" width="8.57421875" style="956" bestFit="1" customWidth="1"/>
    <col min="8" max="8" width="10.28125" style="956" customWidth="1"/>
    <col min="9" max="9" width="8.8515625" style="956" bestFit="1" customWidth="1"/>
    <col min="10" max="10" width="8.7109375" style="956" bestFit="1" customWidth="1"/>
    <col min="11" max="11" width="9.140625" style="956" bestFit="1" customWidth="1"/>
    <col min="12" max="12" width="8.7109375" style="956" bestFit="1" customWidth="1"/>
    <col min="13" max="13" width="9.00390625" style="957" bestFit="1" customWidth="1"/>
    <col min="14" max="14" width="9.57421875" style="956" bestFit="1" customWidth="1"/>
    <col min="15" max="15" width="12.8515625" style="956" customWidth="1"/>
    <col min="16" max="17" width="9.140625" style="956" customWidth="1"/>
    <col min="18" max="18" width="11.7109375" style="956" bestFit="1" customWidth="1"/>
    <col min="19" max="16384" width="9.140625" style="956" customWidth="1"/>
  </cols>
  <sheetData>
    <row r="1" spans="1:15" ht="12.75" customHeight="1" thickBot="1">
      <c r="A1" s="1695" t="s">
        <v>1354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</row>
    <row r="2" spans="1:15" ht="15.75" customHeight="1">
      <c r="A2" s="958" t="s">
        <v>541</v>
      </c>
      <c r="B2" s="959" t="s">
        <v>1315</v>
      </c>
      <c r="C2" s="960" t="s">
        <v>12</v>
      </c>
      <c r="D2" s="960" t="s">
        <v>13</v>
      </c>
      <c r="E2" s="960" t="s">
        <v>14</v>
      </c>
      <c r="F2" s="960" t="s">
        <v>15</v>
      </c>
      <c r="G2" s="960" t="s">
        <v>16</v>
      </c>
      <c r="H2" s="960" t="s">
        <v>17</v>
      </c>
      <c r="I2" s="960" t="s">
        <v>18</v>
      </c>
      <c r="J2" s="960" t="s">
        <v>19</v>
      </c>
      <c r="K2" s="961" t="s">
        <v>20</v>
      </c>
      <c r="L2" s="960" t="s">
        <v>21</v>
      </c>
      <c r="M2" s="960" t="s">
        <v>1353</v>
      </c>
      <c r="N2" s="960" t="s">
        <v>23</v>
      </c>
      <c r="O2" s="1696" t="s">
        <v>1316</v>
      </c>
    </row>
    <row r="3" spans="1:15" ht="15.75" customHeight="1" thickBot="1">
      <c r="A3" s="962"/>
      <c r="B3" s="963" t="s">
        <v>76</v>
      </c>
      <c r="C3" s="964"/>
      <c r="D3" s="964"/>
      <c r="E3" s="964"/>
      <c r="F3" s="964"/>
      <c r="G3" s="964"/>
      <c r="H3" s="964"/>
      <c r="I3" s="964"/>
      <c r="J3" s="964"/>
      <c r="K3" s="965"/>
      <c r="L3" s="964"/>
      <c r="M3" s="964"/>
      <c r="N3" s="964"/>
      <c r="O3" s="1697"/>
    </row>
    <row r="4" spans="1:18" ht="13.5">
      <c r="A4" s="966" t="s">
        <v>1230</v>
      </c>
      <c r="B4" s="967">
        <v>1</v>
      </c>
      <c r="C4" s="1068">
        <v>414832.65463963</v>
      </c>
      <c r="D4" s="1069">
        <v>282804.05740618997</v>
      </c>
      <c r="E4" s="1070">
        <v>367149.3269101</v>
      </c>
      <c r="F4" s="1069">
        <v>185113.06487986998</v>
      </c>
      <c r="G4" s="1070">
        <v>207015.79092867998</v>
      </c>
      <c r="H4" s="1071">
        <v>238877.14449222</v>
      </c>
      <c r="I4" s="1071">
        <v>337065.71600382996</v>
      </c>
      <c r="J4" s="1071">
        <v>401618.85173318</v>
      </c>
      <c r="K4" s="1070">
        <v>287268.80176124006</v>
      </c>
      <c r="L4" s="1071">
        <v>262343.88651065</v>
      </c>
      <c r="M4" s="1071">
        <v>305151.88746364997</v>
      </c>
      <c r="N4" s="1071">
        <v>570489.0118563102</v>
      </c>
      <c r="O4" s="1072">
        <f aca="true" t="shared" si="0" ref="O4:O17">SUM(C4:N4)</f>
        <v>3859730.1945855496</v>
      </c>
      <c r="P4" s="969"/>
      <c r="R4" s="1067"/>
    </row>
    <row r="5" spans="1:18" ht="13.5">
      <c r="A5" s="970" t="s">
        <v>1231</v>
      </c>
      <c r="B5" s="971">
        <v>2</v>
      </c>
      <c r="C5" s="1073">
        <v>29707.27116</v>
      </c>
      <c r="D5" s="1074">
        <v>29381.90007299999</v>
      </c>
      <c r="E5" s="1075">
        <v>26664.369934000002</v>
      </c>
      <c r="F5" s="1074">
        <v>96219.34161700003</v>
      </c>
      <c r="G5" s="1075">
        <v>52872.490208</v>
      </c>
      <c r="H5" s="1071">
        <v>10145.751593</v>
      </c>
      <c r="I5" s="1071">
        <v>1653.9455639999999</v>
      </c>
      <c r="J5" s="1071">
        <v>1181.577119</v>
      </c>
      <c r="K5" s="1071">
        <v>5874.850764</v>
      </c>
      <c r="L5" s="1071">
        <v>10195.574213</v>
      </c>
      <c r="M5" s="1071">
        <v>28451.327996999997</v>
      </c>
      <c r="N5" s="1071">
        <v>62030.510168</v>
      </c>
      <c r="O5" s="1072">
        <f t="shared" si="0"/>
        <v>354378.91041</v>
      </c>
      <c r="P5" s="969"/>
      <c r="R5" s="1067"/>
    </row>
    <row r="6" spans="1:18" ht="14.25" thickBot="1">
      <c r="A6" s="972" t="s">
        <v>1232</v>
      </c>
      <c r="B6" s="973">
        <v>3</v>
      </c>
      <c r="C6" s="1076">
        <v>85751.99055</v>
      </c>
      <c r="D6" s="1077">
        <v>75785.88812754997</v>
      </c>
      <c r="E6" s="1073">
        <v>64481.455828</v>
      </c>
      <c r="F6" s="1077">
        <v>179932.48908799997</v>
      </c>
      <c r="G6" s="1073">
        <v>126291.01502400001</v>
      </c>
      <c r="H6" s="1073">
        <v>46853.00651100001</v>
      </c>
      <c r="I6" s="1073">
        <v>17610.527670000003</v>
      </c>
      <c r="J6" s="1071">
        <v>9944.58688</v>
      </c>
      <c r="K6" s="1078">
        <v>28660.85511483999</v>
      </c>
      <c r="L6" s="1073">
        <v>42790.552934</v>
      </c>
      <c r="M6" s="1073">
        <v>74898.374623</v>
      </c>
      <c r="N6" s="1073">
        <v>143158.12961199996</v>
      </c>
      <c r="O6" s="1079">
        <f t="shared" si="0"/>
        <v>896158.8719623899</v>
      </c>
      <c r="P6" s="969"/>
      <c r="R6" s="1067"/>
    </row>
    <row r="7" spans="1:18" ht="13.5">
      <c r="A7" s="970" t="s">
        <v>1233</v>
      </c>
      <c r="B7" s="974">
        <v>4</v>
      </c>
      <c r="C7" s="1080">
        <v>11761.186847000003</v>
      </c>
      <c r="D7" s="1081">
        <v>10919.929836</v>
      </c>
      <c r="E7" s="1080">
        <v>6352.39717</v>
      </c>
      <c r="F7" s="1081">
        <v>16041.400324999999</v>
      </c>
      <c r="G7" s="1080">
        <v>6604.485584</v>
      </c>
      <c r="H7" s="1070">
        <v>2505.766714</v>
      </c>
      <c r="I7" s="1070">
        <v>1275.65367</v>
      </c>
      <c r="J7" s="1070">
        <v>916.4851430000001</v>
      </c>
      <c r="K7" s="1082">
        <v>5292.405789</v>
      </c>
      <c r="L7" s="1070">
        <v>6445.1082860000015</v>
      </c>
      <c r="M7" s="1070">
        <v>8557.458017</v>
      </c>
      <c r="N7" s="1070">
        <v>14717.947780000002</v>
      </c>
      <c r="O7" s="1083">
        <f>SUM(C7:N7)</f>
        <v>91390.225161</v>
      </c>
      <c r="P7" s="969"/>
      <c r="R7" s="1067"/>
    </row>
    <row r="8" spans="1:18" ht="13.5">
      <c r="A8" s="970" t="s">
        <v>1234</v>
      </c>
      <c r="B8" s="971">
        <v>5</v>
      </c>
      <c r="C8" s="1073">
        <v>25378.296524999998</v>
      </c>
      <c r="D8" s="1077">
        <v>18054.480896000005</v>
      </c>
      <c r="E8" s="1073">
        <v>19224.526445</v>
      </c>
      <c r="F8" s="1077">
        <v>19924.300053</v>
      </c>
      <c r="G8" s="1073">
        <v>19928.868589</v>
      </c>
      <c r="H8" s="1071">
        <v>6301.233428</v>
      </c>
      <c r="I8" s="1071">
        <v>10544.727590999999</v>
      </c>
      <c r="J8" s="1071">
        <v>9562.528592</v>
      </c>
      <c r="K8" s="1071">
        <v>8152.970250000002</v>
      </c>
      <c r="L8" s="1071">
        <v>4158.581215999998</v>
      </c>
      <c r="M8" s="1071">
        <v>6681.633232000001</v>
      </c>
      <c r="N8" s="1071">
        <v>20018.770878999996</v>
      </c>
      <c r="O8" s="1072">
        <f t="shared" si="0"/>
        <v>167930.917696</v>
      </c>
      <c r="P8" s="969"/>
      <c r="R8" s="1067"/>
    </row>
    <row r="9" spans="1:18" ht="13.5">
      <c r="A9" s="970" t="s">
        <v>1235</v>
      </c>
      <c r="B9" s="971">
        <v>6</v>
      </c>
      <c r="C9" s="1073">
        <v>35654.00075999999</v>
      </c>
      <c r="D9" s="1077">
        <v>21084.562954</v>
      </c>
      <c r="E9" s="1073">
        <v>16487.62121</v>
      </c>
      <c r="F9" s="1077">
        <v>29409.666009999997</v>
      </c>
      <c r="G9" s="1073">
        <v>10562.245988000002</v>
      </c>
      <c r="H9" s="1071">
        <v>4335.188669</v>
      </c>
      <c r="I9" s="1071">
        <v>16948.086678000003</v>
      </c>
      <c r="J9" s="1071">
        <v>12403.106127000001</v>
      </c>
      <c r="K9" s="1071">
        <v>8770.584468000001</v>
      </c>
      <c r="L9" s="1071">
        <v>4468.125805</v>
      </c>
      <c r="M9" s="1071">
        <v>24523.249350000002</v>
      </c>
      <c r="N9" s="1071">
        <v>45691.13921999998</v>
      </c>
      <c r="O9" s="1072">
        <f t="shared" si="0"/>
        <v>230337.57723899995</v>
      </c>
      <c r="P9" s="969"/>
      <c r="R9" s="1067"/>
    </row>
    <row r="10" spans="1:18" ht="13.5">
      <c r="A10" s="970" t="s">
        <v>1236</v>
      </c>
      <c r="B10" s="975">
        <v>7</v>
      </c>
      <c r="C10" s="1073">
        <v>60843.963296999995</v>
      </c>
      <c r="D10" s="1077">
        <v>43509.236125999996</v>
      </c>
      <c r="E10" s="1073">
        <v>38468.943278</v>
      </c>
      <c r="F10" s="1077">
        <v>37505.45368599999</v>
      </c>
      <c r="G10" s="1073">
        <v>38944.925862000004</v>
      </c>
      <c r="H10" s="1071">
        <v>7862.355085000001</v>
      </c>
      <c r="I10" s="1071">
        <v>12768.435946000001</v>
      </c>
      <c r="J10" s="1071">
        <v>26812.664540999995</v>
      </c>
      <c r="K10" s="1071">
        <v>7883.211635000001</v>
      </c>
      <c r="L10" s="1071">
        <v>4545.2039030000005</v>
      </c>
      <c r="M10" s="1071">
        <v>15879.606408</v>
      </c>
      <c r="N10" s="1071">
        <v>27467.017809000004</v>
      </c>
      <c r="O10" s="1072">
        <f t="shared" si="0"/>
        <v>322491.01757599995</v>
      </c>
      <c r="P10" s="969"/>
      <c r="R10" s="1067"/>
    </row>
    <row r="11" spans="1:18" ht="13.5">
      <c r="A11" s="970" t="s">
        <v>1237</v>
      </c>
      <c r="B11" s="971">
        <v>8</v>
      </c>
      <c r="C11" s="1071">
        <v>24126.462665000006</v>
      </c>
      <c r="D11" s="1084">
        <v>18088.895830000005</v>
      </c>
      <c r="E11" s="1071">
        <v>21779.974445000007</v>
      </c>
      <c r="F11" s="1084">
        <v>18191.034782000002</v>
      </c>
      <c r="G11" s="1071">
        <v>13841.497300999998</v>
      </c>
      <c r="H11" s="1071">
        <v>12119.877733999998</v>
      </c>
      <c r="I11" s="1071">
        <v>15559.307741999999</v>
      </c>
      <c r="J11" s="1071">
        <v>19283.059867999997</v>
      </c>
      <c r="K11" s="1071">
        <v>20679.445023</v>
      </c>
      <c r="L11" s="1071">
        <v>16317.240557999998</v>
      </c>
      <c r="M11" s="1071">
        <v>21420.625149999993</v>
      </c>
      <c r="N11" s="1071">
        <v>34868.694967999996</v>
      </c>
      <c r="O11" s="1072">
        <f t="shared" si="0"/>
        <v>236276.11606600002</v>
      </c>
      <c r="P11" s="969"/>
      <c r="R11" s="1067"/>
    </row>
    <row r="12" spans="1:18" ht="14.25" thickBot="1">
      <c r="A12" s="970" t="s">
        <v>1238</v>
      </c>
      <c r="B12" s="971">
        <v>9</v>
      </c>
      <c r="C12" s="1071">
        <v>48715.652325129995</v>
      </c>
      <c r="D12" s="1084">
        <v>23308.769273460002</v>
      </c>
      <c r="E12" s="1071">
        <v>33749.64960252999</v>
      </c>
      <c r="F12" s="1084">
        <v>46641.56700383</v>
      </c>
      <c r="G12" s="1071">
        <v>42055.34634512999</v>
      </c>
      <c r="H12" s="1071">
        <v>18232.84435963</v>
      </c>
      <c r="I12" s="1071">
        <v>13514.356684829998</v>
      </c>
      <c r="J12" s="1073">
        <v>12608.077167930001</v>
      </c>
      <c r="K12" s="1073">
        <v>12100.051837990002</v>
      </c>
      <c r="L12" s="1073">
        <v>13126.644034699999</v>
      </c>
      <c r="M12" s="1073">
        <v>26996.388142910004</v>
      </c>
      <c r="N12" s="1078">
        <v>53868.41470944001</v>
      </c>
      <c r="O12" s="1085">
        <f t="shared" si="0"/>
        <v>344917.76148751</v>
      </c>
      <c r="P12" s="969"/>
      <c r="R12" s="1067"/>
    </row>
    <row r="13" spans="1:18" ht="13.5">
      <c r="A13" s="976" t="s">
        <v>1239</v>
      </c>
      <c r="B13" s="977" t="s">
        <v>32</v>
      </c>
      <c r="C13" s="1086">
        <v>152329.209</v>
      </c>
      <c r="D13" s="1086">
        <v>78525.051</v>
      </c>
      <c r="E13" s="1087">
        <v>142301.27599999998</v>
      </c>
      <c r="F13" s="1086">
        <v>154761.103</v>
      </c>
      <c r="G13" s="1086">
        <v>134322.982</v>
      </c>
      <c r="H13" s="1086">
        <v>126017.619</v>
      </c>
      <c r="I13" s="1086">
        <v>231981.83299999993</v>
      </c>
      <c r="J13" s="1088">
        <v>283781.924</v>
      </c>
      <c r="K13" s="1086">
        <v>154422.10499999998</v>
      </c>
      <c r="L13" s="1089">
        <v>113744.67500000002</v>
      </c>
      <c r="M13" s="1086">
        <v>156506.588</v>
      </c>
      <c r="N13" s="1090">
        <v>393832.71300000005</v>
      </c>
      <c r="O13" s="1091">
        <f t="shared" si="0"/>
        <v>2122527.078</v>
      </c>
      <c r="P13" s="969"/>
      <c r="R13" s="1067"/>
    </row>
    <row r="14" spans="1:18" ht="13.5">
      <c r="A14" s="978" t="s">
        <v>1240</v>
      </c>
      <c r="B14" s="979" t="s">
        <v>77</v>
      </c>
      <c r="C14" s="1092">
        <v>192107.767</v>
      </c>
      <c r="D14" s="1093">
        <v>239364.358</v>
      </c>
      <c r="E14" s="1094">
        <v>283751.24899999995</v>
      </c>
      <c r="F14" s="1093">
        <v>126651.97800000002</v>
      </c>
      <c r="G14" s="1094">
        <v>171655.02900000004</v>
      </c>
      <c r="H14" s="1094">
        <v>365508.3560000001</v>
      </c>
      <c r="I14" s="1094">
        <v>448254.775</v>
      </c>
      <c r="J14" s="1095">
        <v>419719.432</v>
      </c>
      <c r="K14" s="1094">
        <v>273819.106</v>
      </c>
      <c r="L14" s="1093">
        <v>234762.261</v>
      </c>
      <c r="M14" s="1094">
        <v>210513.75900000002</v>
      </c>
      <c r="N14" s="1096">
        <v>77425.36899999999</v>
      </c>
      <c r="O14" s="1097">
        <f t="shared" si="0"/>
        <v>3043533.4390000002</v>
      </c>
      <c r="P14" s="969"/>
      <c r="R14" s="1067"/>
    </row>
    <row r="15" spans="1:18" ht="14.25" thickBot="1">
      <c r="A15" s="980" t="s">
        <v>1241</v>
      </c>
      <c r="B15" s="981" t="s">
        <v>1317</v>
      </c>
      <c r="C15" s="1098">
        <f>C13-C14</f>
        <v>-39778.55799999999</v>
      </c>
      <c r="D15" s="1099">
        <f>D13-D14</f>
        <v>-160839.307</v>
      </c>
      <c r="E15" s="1098">
        <f>E13-E14</f>
        <v>-141449.97299999997</v>
      </c>
      <c r="F15" s="1098">
        <f>F13-F14</f>
        <v>28109.124999999985</v>
      </c>
      <c r="G15" s="1098">
        <f aca="true" t="shared" si="1" ref="G15:N15">G13-G14</f>
        <v>-37332.04700000005</v>
      </c>
      <c r="H15" s="1099">
        <f t="shared" si="1"/>
        <v>-239490.73700000008</v>
      </c>
      <c r="I15" s="1098">
        <f t="shared" si="1"/>
        <v>-216272.9420000001</v>
      </c>
      <c r="J15" s="1100">
        <f t="shared" si="1"/>
        <v>-135937.50799999997</v>
      </c>
      <c r="K15" s="1100">
        <f t="shared" si="1"/>
        <v>-119397.00100000005</v>
      </c>
      <c r="L15" s="1100">
        <f t="shared" si="1"/>
        <v>-121017.58599999998</v>
      </c>
      <c r="M15" s="1100">
        <f t="shared" si="1"/>
        <v>-54007.17100000003</v>
      </c>
      <c r="N15" s="1100">
        <f t="shared" si="1"/>
        <v>316407.34400000004</v>
      </c>
      <c r="O15" s="1101">
        <f>O14-O13</f>
        <v>921006.361</v>
      </c>
      <c r="P15" s="969"/>
      <c r="R15" s="1067"/>
    </row>
    <row r="16" spans="1:18" ht="13.5" customHeight="1">
      <c r="A16" s="982" t="s">
        <v>1242</v>
      </c>
      <c r="B16" s="974" t="s">
        <v>1318</v>
      </c>
      <c r="C16" s="1068">
        <f aca="true" t="shared" si="2" ref="C16:N16">(C4+C5+C6+C7+C8+C9+C11+C12+C14+C10)</f>
        <v>928879.24576876</v>
      </c>
      <c r="D16" s="1068">
        <f t="shared" si="2"/>
        <v>762302.0785221999</v>
      </c>
      <c r="E16" s="1068">
        <f t="shared" si="2"/>
        <v>878109.5138226299</v>
      </c>
      <c r="F16" s="1068">
        <f t="shared" si="2"/>
        <v>755630.2954446999</v>
      </c>
      <c r="G16" s="1068">
        <f t="shared" si="2"/>
        <v>689771.6948298101</v>
      </c>
      <c r="H16" s="1068">
        <f t="shared" si="2"/>
        <v>712741.5245858502</v>
      </c>
      <c r="I16" s="1068">
        <f t="shared" si="2"/>
        <v>875195.53254966</v>
      </c>
      <c r="J16" s="1068">
        <f t="shared" si="2"/>
        <v>914050.3691711101</v>
      </c>
      <c r="K16" s="1102">
        <v>658502.28264307</v>
      </c>
      <c r="L16" s="1068">
        <f t="shared" si="2"/>
        <v>599153.1784603499</v>
      </c>
      <c r="M16" s="1068">
        <f t="shared" si="2"/>
        <v>723074.30938356</v>
      </c>
      <c r="N16" s="1068">
        <f t="shared" si="2"/>
        <v>1049735.0060017502</v>
      </c>
      <c r="O16" s="1103">
        <f t="shared" si="0"/>
        <v>9547145.03118345</v>
      </c>
      <c r="P16" s="969"/>
      <c r="R16" s="1067"/>
    </row>
    <row r="17" spans="1:18" ht="13.5">
      <c r="A17" s="983" t="s">
        <v>1243</v>
      </c>
      <c r="B17" s="971">
        <v>13</v>
      </c>
      <c r="C17" s="1104">
        <v>17792.2511259102</v>
      </c>
      <c r="D17" s="1084">
        <v>14697.312015100002</v>
      </c>
      <c r="E17" s="1071">
        <v>15237.403193799972</v>
      </c>
      <c r="F17" s="1084">
        <v>24524.84803970003</v>
      </c>
      <c r="G17" s="1071">
        <v>17692.81080914986</v>
      </c>
      <c r="H17" s="1071">
        <v>13455.26673122</v>
      </c>
      <c r="I17" s="1071">
        <v>17257.64721992016</v>
      </c>
      <c r="J17" s="1071">
        <v>16942.442565160036</v>
      </c>
      <c r="K17" s="1071">
        <v>12529.258744780063</v>
      </c>
      <c r="L17" s="1084">
        <v>10936.152578750014</v>
      </c>
      <c r="M17" s="1071">
        <v>14973.49077648008</v>
      </c>
      <c r="N17" s="1071">
        <v>23955.349322009803</v>
      </c>
      <c r="O17" s="1103">
        <f t="shared" si="0"/>
        <v>199994.2331219802</v>
      </c>
      <c r="P17" s="969"/>
      <c r="R17" s="1067"/>
    </row>
    <row r="18" spans="1:18" ht="13.5">
      <c r="A18" s="983" t="s">
        <v>1244</v>
      </c>
      <c r="B18" s="971" t="s">
        <v>1319</v>
      </c>
      <c r="C18" s="1105">
        <f>+C17/C16*100</f>
        <v>1.9154536186439346</v>
      </c>
      <c r="D18" s="1106">
        <f aca="true" t="shared" si="3" ref="D18:M18">+D17/D16*100</f>
        <v>1.9280167835292061</v>
      </c>
      <c r="E18" s="1107">
        <f t="shared" si="3"/>
        <v>1.7352508945573033</v>
      </c>
      <c r="F18" s="1108">
        <f t="shared" si="3"/>
        <v>3.245614712319969</v>
      </c>
      <c r="G18" s="1107">
        <f>+G17/G16*100</f>
        <v>2.5650241872443424</v>
      </c>
      <c r="H18" s="1107">
        <f>+H17/H16*100</f>
        <v>1.8878185523199869</v>
      </c>
      <c r="I18" s="1107">
        <f>+I17/I16*100</f>
        <v>1.971861895780522</v>
      </c>
      <c r="J18" s="1107">
        <f>+J17/J16*100</f>
        <v>1.8535567772401844</v>
      </c>
      <c r="K18" s="1107">
        <v>1.9026902525668747</v>
      </c>
      <c r="L18" s="1108">
        <f t="shared" si="3"/>
        <v>1.8252682238710238</v>
      </c>
      <c r="M18" s="1107">
        <f t="shared" si="3"/>
        <v>2.0708094012142926</v>
      </c>
      <c r="N18" s="1107">
        <f>+N17/N16*100</f>
        <v>2.2820377700131553</v>
      </c>
      <c r="O18" s="1109">
        <f>+O17/O16*100</f>
        <v>2.0948066931920195</v>
      </c>
      <c r="P18" s="969"/>
      <c r="R18" s="1067"/>
    </row>
    <row r="19" spans="1:18" ht="14.25" thickBot="1">
      <c r="A19" s="984" t="s">
        <v>1245</v>
      </c>
      <c r="B19" s="985" t="s">
        <v>1320</v>
      </c>
      <c r="C19" s="1110">
        <f>C16-C17</f>
        <v>911086.9946428498</v>
      </c>
      <c r="D19" s="1111">
        <f>D16-D17</f>
        <v>747604.7665070998</v>
      </c>
      <c r="E19" s="1078">
        <f>E16-E17</f>
        <v>862872.1106288299</v>
      </c>
      <c r="F19" s="1112">
        <f>F16-F17</f>
        <v>731105.4474049999</v>
      </c>
      <c r="G19" s="1078">
        <f aca="true" t="shared" si="4" ref="G19:N19">G16-G17</f>
        <v>672078.8840206602</v>
      </c>
      <c r="H19" s="1078">
        <f t="shared" si="4"/>
        <v>699286.2578546302</v>
      </c>
      <c r="I19" s="1078">
        <f t="shared" si="4"/>
        <v>857937.8853297398</v>
      </c>
      <c r="J19" s="1112">
        <f t="shared" si="4"/>
        <v>897107.9266059501</v>
      </c>
      <c r="K19" s="1078">
        <v>645973.0238982899</v>
      </c>
      <c r="L19" s="1112">
        <f t="shared" si="4"/>
        <v>588217.0258815999</v>
      </c>
      <c r="M19" s="1078">
        <f t="shared" si="4"/>
        <v>708100.8186070799</v>
      </c>
      <c r="N19" s="1078">
        <f t="shared" si="4"/>
        <v>1025779.6566797404</v>
      </c>
      <c r="O19" s="1113">
        <f>SUM(C19:N19)</f>
        <v>9347150.79806147</v>
      </c>
      <c r="P19" s="969"/>
      <c r="R19" s="1067"/>
    </row>
    <row r="20" spans="1:18" ht="13.5">
      <c r="A20" s="986" t="s">
        <v>1246</v>
      </c>
      <c r="B20" s="987" t="s">
        <v>1321</v>
      </c>
      <c r="C20" s="1114">
        <f>+C13</f>
        <v>152329.209</v>
      </c>
      <c r="D20" s="1088">
        <f aca="true" t="shared" si="5" ref="D20:I20">+D13</f>
        <v>78525.051</v>
      </c>
      <c r="E20" s="1086">
        <f t="shared" si="5"/>
        <v>142301.27599999998</v>
      </c>
      <c r="F20" s="1089">
        <f t="shared" si="5"/>
        <v>154761.103</v>
      </c>
      <c r="G20" s="1086">
        <f t="shared" si="5"/>
        <v>134322.982</v>
      </c>
      <c r="H20" s="1086">
        <f t="shared" si="5"/>
        <v>126017.619</v>
      </c>
      <c r="I20" s="1086">
        <f t="shared" si="5"/>
        <v>231981.83299999993</v>
      </c>
      <c r="J20" s="1089">
        <f>+J13</f>
        <v>283781.924</v>
      </c>
      <c r="K20" s="1087">
        <v>154422.10499999998</v>
      </c>
      <c r="L20" s="1114">
        <f>+L13</f>
        <v>113744.67500000002</v>
      </c>
      <c r="M20" s="1114">
        <f>+M13</f>
        <v>156506.588</v>
      </c>
      <c r="N20" s="1089">
        <f>+N13</f>
        <v>393832.71300000005</v>
      </c>
      <c r="O20" s="1091">
        <f>SUM(C20:N20)</f>
        <v>2122527.078</v>
      </c>
      <c r="P20" s="969"/>
      <c r="R20" s="1067"/>
    </row>
    <row r="21" spans="1:18" ht="13.5">
      <c r="A21" s="988" t="s">
        <v>1247</v>
      </c>
      <c r="B21" s="989"/>
      <c r="C21" s="1115">
        <f aca="true" t="shared" si="6" ref="C21:J21">SUM(C22:C38,C40:C40)</f>
        <v>42911.327478299994</v>
      </c>
      <c r="D21" s="1115">
        <f t="shared" si="6"/>
        <v>62366.072874260004</v>
      </c>
      <c r="E21" s="1115">
        <f t="shared" si="6"/>
        <v>75227.04438462004</v>
      </c>
      <c r="F21" s="1115">
        <f t="shared" si="6"/>
        <v>86590.02445021</v>
      </c>
      <c r="G21" s="1115">
        <f t="shared" si="6"/>
        <v>86343.52674769002</v>
      </c>
      <c r="H21" s="1115">
        <f t="shared" si="6"/>
        <v>81077.46529795002</v>
      </c>
      <c r="I21" s="1115">
        <f>I22+I23+I24+I25+I26+I27+I28+I30+I31+I32+I33+I35+I36+I37+I38+I40+I34+I29</f>
        <v>54925.69662582</v>
      </c>
      <c r="J21" s="1115">
        <f t="shared" si="6"/>
        <v>48854.02279784001</v>
      </c>
      <c r="K21" s="1116">
        <v>30360.5207069</v>
      </c>
      <c r="L21" s="1115">
        <f>L22+L23+L24+L25+L26+L27+L28+L29+L30+L31+L32+L33+L34+L35+L36+L37+L38+L39+L40</f>
        <v>20220.99873222</v>
      </c>
      <c r="M21" s="1115">
        <f>M22+M23+M24+M25+M26+M27+M28+M29+M30+M31+M32+M33+M34+M35+M36+M37+M38+M39+M40</f>
        <v>50792.044205139995</v>
      </c>
      <c r="N21" s="1116">
        <f>N22+N23+N24+N25+N26+N27+N28+N30+N31+N32+N33+N35+N36+N37+N38+N40+N34+N29</f>
        <v>39173.89169987999</v>
      </c>
      <c r="O21" s="1117">
        <f>SUM(C21:N21)</f>
        <v>678842.6360008301</v>
      </c>
      <c r="P21" s="969"/>
      <c r="R21" s="1067"/>
    </row>
    <row r="22" spans="1:18" ht="13.5">
      <c r="A22" s="990" t="s">
        <v>697</v>
      </c>
      <c r="B22" s="989"/>
      <c r="C22" s="1118">
        <v>1768.8852010000003</v>
      </c>
      <c r="D22" s="1119">
        <v>21947.631048000007</v>
      </c>
      <c r="E22" s="1120">
        <v>32655.116727000008</v>
      </c>
      <c r="F22" s="1119">
        <v>32693.135529</v>
      </c>
      <c r="G22" s="1120">
        <v>22751.57372</v>
      </c>
      <c r="H22" s="1120">
        <v>23686.139274000005</v>
      </c>
      <c r="I22" s="1120">
        <v>935.608945</v>
      </c>
      <c r="J22" s="1121">
        <v>422.65520000000004</v>
      </c>
      <c r="K22" s="1122">
        <v>381.145282</v>
      </c>
      <c r="L22" s="1123">
        <v>1875.0255660000007</v>
      </c>
      <c r="M22" s="1121">
        <v>31656.319539</v>
      </c>
      <c r="N22" s="1122">
        <v>20461.427572000004</v>
      </c>
      <c r="O22" s="1124">
        <f>SUM(C22:N22)</f>
        <v>191234.66360300005</v>
      </c>
      <c r="P22" s="969"/>
      <c r="R22" s="1067"/>
    </row>
    <row r="23" spans="1:18" ht="13.5">
      <c r="A23" s="990" t="s">
        <v>698</v>
      </c>
      <c r="B23" s="989"/>
      <c r="C23" s="1118">
        <v>0</v>
      </c>
      <c r="D23" s="1119">
        <v>0</v>
      </c>
      <c r="E23" s="1120">
        <v>0</v>
      </c>
      <c r="F23" s="1119">
        <v>0</v>
      </c>
      <c r="G23" s="1120">
        <v>0</v>
      </c>
      <c r="H23" s="1120">
        <v>0</v>
      </c>
      <c r="I23" s="1120">
        <v>0</v>
      </c>
      <c r="J23" s="1121">
        <v>0</v>
      </c>
      <c r="K23" s="1122"/>
      <c r="L23" s="1123">
        <v>0</v>
      </c>
      <c r="M23" s="1115">
        <v>0</v>
      </c>
      <c r="N23" s="1116">
        <v>0</v>
      </c>
      <c r="O23" s="1124">
        <f aca="true" t="shared" si="7" ref="O23:O39">SUM(C23:N23)</f>
        <v>0</v>
      </c>
      <c r="P23" s="969"/>
      <c r="R23" s="1067"/>
    </row>
    <row r="24" spans="1:18" ht="13.5">
      <c r="A24" s="990" t="s">
        <v>699</v>
      </c>
      <c r="B24" s="989"/>
      <c r="C24" s="1118">
        <v>7959.537786999999</v>
      </c>
      <c r="D24" s="1119">
        <v>9447.583831</v>
      </c>
      <c r="E24" s="1120">
        <v>10809.007775999999</v>
      </c>
      <c r="F24" s="1119">
        <v>10543.544957000002</v>
      </c>
      <c r="G24" s="1120">
        <v>10497.849381999999</v>
      </c>
      <c r="H24" s="1120">
        <v>9035.600575</v>
      </c>
      <c r="I24" s="1120">
        <v>5747.063749000001</v>
      </c>
      <c r="J24" s="1121">
        <v>8513.901155</v>
      </c>
      <c r="K24" s="1122">
        <v>8298.163778</v>
      </c>
      <c r="L24" s="1123">
        <v>7577.653430999999</v>
      </c>
      <c r="M24" s="1121">
        <v>7555.489601999998</v>
      </c>
      <c r="N24" s="1122">
        <v>7423.609346000001</v>
      </c>
      <c r="O24" s="1124">
        <f t="shared" si="7"/>
        <v>103409.00536899999</v>
      </c>
      <c r="P24" s="969"/>
      <c r="R24" s="1067"/>
    </row>
    <row r="25" spans="1:18" ht="13.5">
      <c r="A25" s="990" t="s">
        <v>700</v>
      </c>
      <c r="B25" s="989"/>
      <c r="C25" s="1118">
        <v>0</v>
      </c>
      <c r="D25" s="1119">
        <v>0</v>
      </c>
      <c r="E25" s="1120">
        <v>0</v>
      </c>
      <c r="F25" s="1119">
        <v>4263.724277</v>
      </c>
      <c r="G25" s="1120">
        <v>7057.462050000003</v>
      </c>
      <c r="H25" s="1120">
        <v>3983.0370519999997</v>
      </c>
      <c r="I25" s="1120">
        <v>1425.930935</v>
      </c>
      <c r="J25" s="1121">
        <v>0</v>
      </c>
      <c r="K25" s="1122">
        <v>0</v>
      </c>
      <c r="L25" s="1123">
        <v>408.14778699999994</v>
      </c>
      <c r="M25" s="1115">
        <v>346.6571939999999</v>
      </c>
      <c r="N25" s="1116">
        <v>0</v>
      </c>
      <c r="O25" s="1124">
        <f t="shared" si="7"/>
        <v>17484.959295000004</v>
      </c>
      <c r="P25" s="969"/>
      <c r="R25" s="1067"/>
    </row>
    <row r="26" spans="1:18" ht="13.5">
      <c r="A26" s="990" t="s">
        <v>701</v>
      </c>
      <c r="B26" s="989"/>
      <c r="C26" s="1118">
        <v>425.7128890000001</v>
      </c>
      <c r="D26" s="1119">
        <v>1353.2337690000002</v>
      </c>
      <c r="E26" s="1120">
        <v>782.3843650000001</v>
      </c>
      <c r="F26" s="1119">
        <v>1480.774535</v>
      </c>
      <c r="G26" s="1120">
        <v>888.0222560000004</v>
      </c>
      <c r="H26" s="1120">
        <v>1330.233711</v>
      </c>
      <c r="I26" s="1120">
        <v>1004.5918909999999</v>
      </c>
      <c r="J26" s="1121">
        <v>1181.684418</v>
      </c>
      <c r="K26" s="1122">
        <v>2098.1519900000003</v>
      </c>
      <c r="L26" s="1123">
        <v>675.2282710000001</v>
      </c>
      <c r="M26" s="1121">
        <v>2187.1015700000003</v>
      </c>
      <c r="N26" s="1122">
        <v>1810.2686409999997</v>
      </c>
      <c r="O26" s="1124">
        <f t="shared" si="7"/>
        <v>15217.388306</v>
      </c>
      <c r="P26" s="969"/>
      <c r="R26" s="1067"/>
    </row>
    <row r="27" spans="1:18" ht="13.5">
      <c r="A27" s="990" t="s">
        <v>702</v>
      </c>
      <c r="B27" s="989"/>
      <c r="C27" s="1118">
        <v>0</v>
      </c>
      <c r="D27" s="1119">
        <v>0</v>
      </c>
      <c r="E27" s="1120">
        <v>0</v>
      </c>
      <c r="F27" s="1119">
        <v>0</v>
      </c>
      <c r="G27" s="1120">
        <v>0</v>
      </c>
      <c r="H27" s="1120">
        <v>0</v>
      </c>
      <c r="I27" s="1120"/>
      <c r="J27" s="1121">
        <v>0</v>
      </c>
      <c r="K27" s="1122">
        <v>0</v>
      </c>
      <c r="L27" s="1123">
        <v>6814.930102000003</v>
      </c>
      <c r="M27" s="1115">
        <v>8593.3411</v>
      </c>
      <c r="N27" s="1116">
        <v>9042.004578999999</v>
      </c>
      <c r="O27" s="1124">
        <f t="shared" si="7"/>
        <v>24450.275781000004</v>
      </c>
      <c r="P27" s="969"/>
      <c r="R27" s="1067"/>
    </row>
    <row r="28" spans="1:18" ht="13.5">
      <c r="A28" s="990" t="s">
        <v>638</v>
      </c>
      <c r="B28" s="989"/>
      <c r="C28" s="1118">
        <v>17702.538640999996</v>
      </c>
      <c r="D28" s="1118">
        <v>15919.022493000004</v>
      </c>
      <c r="E28" s="1118">
        <v>16128.017529</v>
      </c>
      <c r="F28" s="1118">
        <v>16517.728884999997</v>
      </c>
      <c r="G28" s="1120">
        <v>17231.948311000004</v>
      </c>
      <c r="H28" s="1120">
        <v>16339.913316</v>
      </c>
      <c r="I28" s="1120">
        <v>17509.146085999997</v>
      </c>
      <c r="J28" s="1121">
        <v>17403.486950000006</v>
      </c>
      <c r="K28" s="1122">
        <v>10794.709525000002</v>
      </c>
      <c r="L28" s="1123">
        <v>2223.594683</v>
      </c>
      <c r="M28" s="1121">
        <v>0</v>
      </c>
      <c r="N28" s="1122">
        <v>0</v>
      </c>
      <c r="O28" s="1124">
        <f t="shared" si="7"/>
        <v>147770.10641900002</v>
      </c>
      <c r="P28" s="969"/>
      <c r="R28" s="1067"/>
    </row>
    <row r="29" spans="1:18" ht="13.5">
      <c r="A29" s="990" t="s">
        <v>1050</v>
      </c>
      <c r="B29" s="989"/>
      <c r="C29" s="1118">
        <v>0</v>
      </c>
      <c r="D29" s="1118">
        <v>0</v>
      </c>
      <c r="E29" s="1118">
        <v>0</v>
      </c>
      <c r="F29" s="1125">
        <v>0.2988620000000002</v>
      </c>
      <c r="G29" s="1120">
        <v>509.9799380000001</v>
      </c>
      <c r="H29" s="1120">
        <v>511.1227369999998</v>
      </c>
      <c r="I29" s="1120">
        <v>110.46589499999996</v>
      </c>
      <c r="J29" s="1121">
        <v>474.014794</v>
      </c>
      <c r="K29" s="1122">
        <v>418.09034</v>
      </c>
      <c r="L29" s="1123">
        <v>261.641126</v>
      </c>
      <c r="M29" s="1115">
        <v>38.562465</v>
      </c>
      <c r="N29" s="1116">
        <v>213.19487700000005</v>
      </c>
      <c r="O29" s="1124">
        <f t="shared" si="7"/>
        <v>2537.371034</v>
      </c>
      <c r="P29" s="969"/>
      <c r="R29" s="1067"/>
    </row>
    <row r="30" spans="1:18" ht="13.5">
      <c r="A30" s="990" t="s">
        <v>639</v>
      </c>
      <c r="B30" s="989"/>
      <c r="C30" s="1118">
        <v>7188.352091999998</v>
      </c>
      <c r="D30" s="1119">
        <v>5203.381255</v>
      </c>
      <c r="E30" s="1120">
        <v>2147.1942749999994</v>
      </c>
      <c r="F30" s="1119">
        <v>7076.1587549999995</v>
      </c>
      <c r="G30" s="1120">
        <v>7232.276680999999</v>
      </c>
      <c r="H30" s="1120">
        <v>7011.422194</v>
      </c>
      <c r="I30" s="1120">
        <v>7226.272752000001</v>
      </c>
      <c r="J30" s="1121">
        <v>3965.9700320000006</v>
      </c>
      <c r="K30" s="1122">
        <v>20.472173</v>
      </c>
      <c r="L30" s="1123">
        <v>0</v>
      </c>
      <c r="M30" s="1121">
        <v>0.5240640000000001</v>
      </c>
      <c r="N30" s="1122">
        <v>8.336757000000002</v>
      </c>
      <c r="O30" s="1124">
        <f t="shared" si="7"/>
        <v>47080.361029999985</v>
      </c>
      <c r="P30" s="969"/>
      <c r="R30" s="1067"/>
    </row>
    <row r="31" spans="1:18" ht="13.5">
      <c r="A31" s="990" t="s">
        <v>640</v>
      </c>
      <c r="B31" s="989"/>
      <c r="C31" s="1118">
        <v>232.72805499999996</v>
      </c>
      <c r="D31" s="1119">
        <v>1412.5558970000002</v>
      </c>
      <c r="E31" s="1120">
        <v>5072.034165</v>
      </c>
      <c r="F31" s="1119">
        <v>7053.869062999999</v>
      </c>
      <c r="G31" s="1120">
        <v>7472.698840999999</v>
      </c>
      <c r="H31" s="1120">
        <v>7288.198434000002</v>
      </c>
      <c r="I31" s="1120">
        <v>7661.875984000001</v>
      </c>
      <c r="J31" s="1121">
        <v>7549.134030000002</v>
      </c>
      <c r="K31" s="1122">
        <v>6913.467185999999</v>
      </c>
      <c r="L31" s="1123">
        <v>115.86715399999997</v>
      </c>
      <c r="M31" s="1115">
        <v>115.64576700000003</v>
      </c>
      <c r="N31" s="1116">
        <v>123.69699599999998</v>
      </c>
      <c r="O31" s="1124">
        <f t="shared" si="7"/>
        <v>51011.771572000005</v>
      </c>
      <c r="P31" s="969"/>
      <c r="R31" s="1067"/>
    </row>
    <row r="32" spans="1:18" ht="13.5">
      <c r="A32" s="990" t="s">
        <v>703</v>
      </c>
      <c r="B32" s="989"/>
      <c r="C32" s="1118">
        <v>3.190512</v>
      </c>
      <c r="D32" s="1119">
        <v>1.814176</v>
      </c>
      <c r="E32" s="1120">
        <v>2.891933</v>
      </c>
      <c r="F32" s="1119">
        <v>0.9336999999999998</v>
      </c>
      <c r="G32" s="1125">
        <v>1.1632589999999998</v>
      </c>
      <c r="H32" s="1120">
        <v>4.247324000000001</v>
      </c>
      <c r="I32" s="1126">
        <v>0.22593200000000002</v>
      </c>
      <c r="J32" s="1127">
        <v>0.419129</v>
      </c>
      <c r="K32" s="1122">
        <v>0.19585800000000003</v>
      </c>
      <c r="L32" s="1123">
        <v>0.152215</v>
      </c>
      <c r="M32" s="1121">
        <v>0.45851000000000003</v>
      </c>
      <c r="N32" s="1122">
        <v>1.9239920000000001</v>
      </c>
      <c r="O32" s="1124">
        <f t="shared" si="7"/>
        <v>17.61654</v>
      </c>
      <c r="P32" s="969"/>
      <c r="R32" s="1067"/>
    </row>
    <row r="33" spans="1:18" ht="13.5">
      <c r="A33" s="990" t="s">
        <v>704</v>
      </c>
      <c r="B33" s="989"/>
      <c r="C33" s="1118">
        <v>8.931784999999998</v>
      </c>
      <c r="D33" s="1119">
        <v>7.159126999999999</v>
      </c>
      <c r="E33" s="1120">
        <v>28.88734</v>
      </c>
      <c r="F33" s="1128">
        <v>0.5710759999999999</v>
      </c>
      <c r="G33" s="1120">
        <v>17.189756</v>
      </c>
      <c r="H33" s="1120">
        <v>29.764073999999994</v>
      </c>
      <c r="I33" s="1120">
        <v>30.637263999999988</v>
      </c>
      <c r="J33" s="1121">
        <v>25.563777999999996</v>
      </c>
      <c r="K33" s="1122">
        <v>19.681979999999996</v>
      </c>
      <c r="L33" s="1123">
        <v>14.288780999999998</v>
      </c>
      <c r="M33" s="1115">
        <v>16.094309000000003</v>
      </c>
      <c r="N33" s="1116">
        <v>2.357755</v>
      </c>
      <c r="O33" s="1124">
        <f t="shared" si="7"/>
        <v>201.12702499999997</v>
      </c>
      <c r="P33" s="969"/>
      <c r="R33" s="1067"/>
    </row>
    <row r="34" spans="1:18" ht="13.5">
      <c r="A34" s="990" t="s">
        <v>705</v>
      </c>
      <c r="B34" s="989"/>
      <c r="C34" s="1118">
        <v>327.963352</v>
      </c>
      <c r="D34" s="1119">
        <v>472.10052599999995</v>
      </c>
      <c r="E34" s="1120">
        <v>183.98332099999996</v>
      </c>
      <c r="F34" s="1128">
        <v>12.570218</v>
      </c>
      <c r="G34" s="1120">
        <v>161.758067</v>
      </c>
      <c r="H34" s="1120">
        <v>387.698996</v>
      </c>
      <c r="I34" s="1120">
        <v>597.4020289999997</v>
      </c>
      <c r="J34" s="1121">
        <v>665.0099180000002</v>
      </c>
      <c r="K34" s="1122">
        <v>382.93142299999994</v>
      </c>
      <c r="L34" s="1123">
        <v>123.52136900000016</v>
      </c>
      <c r="M34" s="1121">
        <v>177.40950200000003</v>
      </c>
      <c r="N34" s="1122">
        <v>9.032741</v>
      </c>
      <c r="O34" s="1124">
        <f t="shared" si="7"/>
        <v>3501.381462</v>
      </c>
      <c r="P34" s="969"/>
      <c r="R34" s="1067"/>
    </row>
    <row r="35" spans="1:18" ht="13.5">
      <c r="A35" s="990" t="s">
        <v>706</v>
      </c>
      <c r="B35" s="991"/>
      <c r="C35" s="1129">
        <v>0.08795</v>
      </c>
      <c r="D35" s="1119">
        <v>0</v>
      </c>
      <c r="E35" s="1130">
        <v>0</v>
      </c>
      <c r="F35" s="1128">
        <v>0.009890000000000001</v>
      </c>
      <c r="G35" s="1120">
        <v>0</v>
      </c>
      <c r="H35" s="1120">
        <v>0.6364519999999998</v>
      </c>
      <c r="I35" s="1126">
        <v>0.133722</v>
      </c>
      <c r="J35" s="1131">
        <v>0.072161</v>
      </c>
      <c r="K35" s="1122">
        <v>0.015435000000000003</v>
      </c>
      <c r="L35" s="1123">
        <v>0</v>
      </c>
      <c r="M35" s="1115">
        <v>5.512460000000001</v>
      </c>
      <c r="N35" s="1116">
        <v>0.063955</v>
      </c>
      <c r="O35" s="1124">
        <f t="shared" si="7"/>
        <v>6.532025000000001</v>
      </c>
      <c r="P35" s="969"/>
      <c r="R35" s="1067"/>
    </row>
    <row r="36" spans="1:18" ht="13.5">
      <c r="A36" s="990" t="s">
        <v>707</v>
      </c>
      <c r="B36" s="989"/>
      <c r="C36" s="1118">
        <v>14.368785</v>
      </c>
      <c r="D36" s="1119">
        <v>17.10744000000001</v>
      </c>
      <c r="E36" s="1120">
        <v>19.412779000000015</v>
      </c>
      <c r="F36" s="1119">
        <v>15.503543000000006</v>
      </c>
      <c r="G36" s="1120">
        <v>16.584555000000005</v>
      </c>
      <c r="H36" s="1120">
        <v>22.740609000000006</v>
      </c>
      <c r="I36" s="1120">
        <v>21.975164999999997</v>
      </c>
      <c r="J36" s="1121">
        <v>21.92014</v>
      </c>
      <c r="K36" s="1122">
        <v>20.429706000000003</v>
      </c>
      <c r="L36" s="1123">
        <v>22.688359999999967</v>
      </c>
      <c r="M36" s="1121">
        <v>20.438067999999998</v>
      </c>
      <c r="N36" s="1122">
        <v>15.342505999999997</v>
      </c>
      <c r="O36" s="1124">
        <f t="shared" si="7"/>
        <v>228.511656</v>
      </c>
      <c r="P36" s="969"/>
      <c r="R36" s="1067"/>
    </row>
    <row r="37" spans="1:18" ht="13.5">
      <c r="A37" s="990" t="s">
        <v>708</v>
      </c>
      <c r="B37" s="989"/>
      <c r="C37" s="1118">
        <v>31.92083699999999</v>
      </c>
      <c r="D37" s="1119">
        <v>23.704341</v>
      </c>
      <c r="E37" s="1120">
        <v>38.893636</v>
      </c>
      <c r="F37" s="1119">
        <v>16.325263</v>
      </c>
      <c r="G37" s="1120">
        <v>24.859263000000002</v>
      </c>
      <c r="H37" s="1120">
        <v>25.110578000000004</v>
      </c>
      <c r="I37" s="1120">
        <v>19.523972</v>
      </c>
      <c r="J37" s="1121">
        <v>22.309284</v>
      </c>
      <c r="K37" s="1122">
        <v>21.358267</v>
      </c>
      <c r="L37" s="1123">
        <v>28.871896999999983</v>
      </c>
      <c r="M37" s="1115">
        <v>9.500860000000003</v>
      </c>
      <c r="N37" s="1116">
        <v>5.452610999999999</v>
      </c>
      <c r="O37" s="1124">
        <f t="shared" si="7"/>
        <v>267.830809</v>
      </c>
      <c r="P37" s="969"/>
      <c r="R37" s="1067"/>
    </row>
    <row r="38" spans="1:18" ht="13.5">
      <c r="A38" s="990" t="s">
        <v>1248</v>
      </c>
      <c r="B38" s="989"/>
      <c r="C38" s="1129">
        <v>0.12860829999999998</v>
      </c>
      <c r="D38" s="1119">
        <v>16.070662259999995</v>
      </c>
      <c r="E38" s="1120">
        <v>10.23313162</v>
      </c>
      <c r="F38" s="1128">
        <v>3.0650862100000005</v>
      </c>
      <c r="G38" s="1132">
        <v>0.16936569000000012</v>
      </c>
      <c r="H38" s="1120">
        <v>16.87010695</v>
      </c>
      <c r="I38" s="1120">
        <v>21.211762819999997</v>
      </c>
      <c r="J38" s="1121">
        <v>35.08982383999999</v>
      </c>
      <c r="K38" s="1122">
        <v>36.28204890000001</v>
      </c>
      <c r="L38" s="1123">
        <v>31.77745322</v>
      </c>
      <c r="M38" s="1121">
        <v>23.312398139999996</v>
      </c>
      <c r="N38" s="1122">
        <v>2.8781568799999997</v>
      </c>
      <c r="O38" s="1124">
        <f t="shared" si="7"/>
        <v>197.08860483</v>
      </c>
      <c r="P38" s="969"/>
      <c r="R38" s="1067"/>
    </row>
    <row r="39" spans="1:18" ht="13.5">
      <c r="A39" s="990" t="s">
        <v>709</v>
      </c>
      <c r="B39" s="989"/>
      <c r="C39" s="1118">
        <v>70.60197099999999</v>
      </c>
      <c r="D39" s="1119">
        <v>61.030153</v>
      </c>
      <c r="E39" s="1120">
        <v>66.02958599999998</v>
      </c>
      <c r="F39" s="1119">
        <v>15.059512</v>
      </c>
      <c r="G39" s="1120">
        <v>0</v>
      </c>
      <c r="H39" s="1120">
        <v>0</v>
      </c>
      <c r="I39" s="1120">
        <v>0</v>
      </c>
      <c r="J39" s="1121">
        <v>0</v>
      </c>
      <c r="K39" s="1122">
        <v>0</v>
      </c>
      <c r="L39" s="1123">
        <v>0</v>
      </c>
      <c r="M39" s="1115">
        <v>0</v>
      </c>
      <c r="N39" s="1116">
        <v>0</v>
      </c>
      <c r="O39" s="1124">
        <f t="shared" si="7"/>
        <v>212.72122199999998</v>
      </c>
      <c r="P39" s="969"/>
      <c r="R39" s="1067"/>
    </row>
    <row r="40" spans="1:18" ht="13.5">
      <c r="A40" s="990" t="s">
        <v>710</v>
      </c>
      <c r="B40" s="992"/>
      <c r="C40" s="1118">
        <v>7246.980983999998</v>
      </c>
      <c r="D40" s="1119">
        <v>6544.708309</v>
      </c>
      <c r="E40" s="1120">
        <v>7348.9874070000005</v>
      </c>
      <c r="F40" s="1119">
        <v>6911.810811</v>
      </c>
      <c r="G40" s="1120">
        <v>12479.991303000003</v>
      </c>
      <c r="H40" s="1120">
        <v>11404.729865</v>
      </c>
      <c r="I40" s="1120">
        <v>12613.630541999999</v>
      </c>
      <c r="J40" s="1121">
        <v>8572.791985</v>
      </c>
      <c r="K40" s="1122">
        <v>955.425715</v>
      </c>
      <c r="L40" s="1123">
        <v>47.61053699999997</v>
      </c>
      <c r="M40" s="1121">
        <v>45.67679700000001</v>
      </c>
      <c r="N40" s="1122">
        <v>54.301215</v>
      </c>
      <c r="O40" s="1124">
        <f>SUM(C40:N40)</f>
        <v>74226.64547</v>
      </c>
      <c r="P40" s="969"/>
      <c r="R40" s="1067"/>
    </row>
    <row r="41" spans="1:18" ht="14.25" thickBot="1">
      <c r="A41" s="993" t="s">
        <v>1249</v>
      </c>
      <c r="B41" s="994"/>
      <c r="C41" s="1133">
        <f>SUM(C42:C44)</f>
        <v>715775.8561935499</v>
      </c>
      <c r="D41" s="1133">
        <f aca="true" t="shared" si="8" ref="D41:M41">SUM(D42:D44)</f>
        <v>606652.61247984</v>
      </c>
      <c r="E41" s="1133">
        <f t="shared" si="8"/>
        <v>645277.76065821</v>
      </c>
      <c r="F41" s="1133">
        <f t="shared" si="8"/>
        <v>489739.26044279</v>
      </c>
      <c r="G41" s="1133">
        <f t="shared" si="8"/>
        <v>451412.37527296995</v>
      </c>
      <c r="H41" s="1133">
        <f t="shared" si="8"/>
        <v>492191.17355668</v>
      </c>
      <c r="I41" s="1133">
        <f t="shared" si="8"/>
        <v>571030.3557039199</v>
      </c>
      <c r="J41" s="1133">
        <f t="shared" si="8"/>
        <v>564471.97980811</v>
      </c>
      <c r="K41" s="1133">
        <f t="shared" si="8"/>
        <v>461190.39819139</v>
      </c>
      <c r="L41" s="1133">
        <f t="shared" si="8"/>
        <v>454251.3521493799</v>
      </c>
      <c r="M41" s="1133">
        <f t="shared" si="8"/>
        <v>500802.18640193995</v>
      </c>
      <c r="N41" s="1133">
        <f>SUM(N42:N44)</f>
        <v>592773.0519798599</v>
      </c>
      <c r="O41" s="1134">
        <f>SUM(C41:N41)</f>
        <v>6545568.36283864</v>
      </c>
      <c r="P41" s="969"/>
      <c r="R41" s="1067"/>
    </row>
    <row r="42" spans="1:18" ht="13.5">
      <c r="A42" s="995" t="s">
        <v>1250</v>
      </c>
      <c r="B42" s="996"/>
      <c r="C42" s="1135">
        <v>617506.58801</v>
      </c>
      <c r="D42" s="1136">
        <v>523532.58451700007</v>
      </c>
      <c r="E42" s="1137">
        <v>559502.526477</v>
      </c>
      <c r="F42" s="1136">
        <v>427176.651808</v>
      </c>
      <c r="G42" s="1137">
        <v>396679.938394</v>
      </c>
      <c r="H42" s="1137">
        <v>430190.280266</v>
      </c>
      <c r="I42" s="1138">
        <v>499819.062481</v>
      </c>
      <c r="J42" s="1136">
        <v>496087.47551400005</v>
      </c>
      <c r="K42" s="1139">
        <v>403928.28574699996</v>
      </c>
      <c r="L42" s="1137">
        <v>395929.28332499997</v>
      </c>
      <c r="M42" s="1140">
        <v>437226.98484899994</v>
      </c>
      <c r="N42" s="1139">
        <v>518231.09334</v>
      </c>
      <c r="O42" s="1141">
        <f>SUM(C42:N42)</f>
        <v>5705810.754728001</v>
      </c>
      <c r="P42" s="969"/>
      <c r="R42" s="1067"/>
    </row>
    <row r="43" spans="1:18" ht="13.5">
      <c r="A43" s="988" t="s">
        <v>1251</v>
      </c>
      <c r="B43" s="997"/>
      <c r="C43" s="1142">
        <v>51766.910267549996</v>
      </c>
      <c r="D43" s="1143">
        <v>45806.36963984</v>
      </c>
      <c r="E43" s="1144">
        <v>47343.47404621</v>
      </c>
      <c r="F43" s="1143">
        <v>32235.712124790003</v>
      </c>
      <c r="G43" s="1144">
        <v>29439.35348997</v>
      </c>
      <c r="H43" s="1144">
        <v>36903.10536167999</v>
      </c>
      <c r="I43" s="1145">
        <v>45103.70658892</v>
      </c>
      <c r="J43" s="1143">
        <v>43301.859454109996</v>
      </c>
      <c r="K43" s="1146">
        <v>35431.39828239</v>
      </c>
      <c r="L43" s="1144">
        <v>34887.192193380004</v>
      </c>
      <c r="M43" s="1147">
        <v>35919.60115194</v>
      </c>
      <c r="N43" s="1146">
        <v>40412.556921859985</v>
      </c>
      <c r="O43" s="1141">
        <f>SUM(C43:N43)</f>
        <v>478551.23952263995</v>
      </c>
      <c r="P43" s="969"/>
      <c r="R43" s="1067"/>
    </row>
    <row r="44" spans="1:18" ht="14.25" thickBot="1">
      <c r="A44" s="993" t="s">
        <v>1252</v>
      </c>
      <c r="B44" s="998"/>
      <c r="C44" s="1148">
        <v>46502.357916</v>
      </c>
      <c r="D44" s="1149">
        <v>37313.658322999996</v>
      </c>
      <c r="E44" s="1150">
        <v>38431.760135</v>
      </c>
      <c r="F44" s="1149">
        <v>30326.89651</v>
      </c>
      <c r="G44" s="1150">
        <v>25293.083389000003</v>
      </c>
      <c r="H44" s="1150">
        <v>25097.787929</v>
      </c>
      <c r="I44" s="1151">
        <v>26107.586633999996</v>
      </c>
      <c r="J44" s="1149">
        <v>25082.644840000004</v>
      </c>
      <c r="K44" s="1152">
        <v>21830.714162000004</v>
      </c>
      <c r="L44" s="1149">
        <v>23434.876630999992</v>
      </c>
      <c r="M44" s="1152">
        <v>27655.600400999996</v>
      </c>
      <c r="N44" s="1153">
        <v>34129.401718</v>
      </c>
      <c r="O44" s="1141">
        <f>SUM(C44:N44)</f>
        <v>361206.368588</v>
      </c>
      <c r="P44" s="969"/>
      <c r="R44" s="1067"/>
    </row>
    <row r="45" spans="1:15" ht="12.75">
      <c r="A45" s="957"/>
      <c r="O45" s="999"/>
    </row>
    <row r="46" spans="10:17" ht="14.25">
      <c r="J46" s="1598" t="s">
        <v>1431</v>
      </c>
      <c r="K46" s="1599"/>
      <c r="L46" s="1599"/>
      <c r="M46" s="1599"/>
      <c r="N46" s="1599"/>
      <c r="O46" s="1585"/>
      <c r="P46" s="1585"/>
      <c r="Q46" s="1585"/>
    </row>
    <row r="51" ht="14.25">
      <c r="O51" s="1000"/>
    </row>
  </sheetData>
  <sheetProtection/>
  <mergeCells count="3">
    <mergeCell ref="A1:O1"/>
    <mergeCell ref="O2:O3"/>
    <mergeCell ref="J46:N46"/>
  </mergeCells>
  <printOptions/>
  <pageMargins left="0.25" right="0.25" top="0.75" bottom="0.75" header="0.3" footer="0.3"/>
  <pageSetup fitToHeight="1" fitToWidth="1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="85" zoomScaleNormal="115" zoomScaleSheetLayoutView="85" zoomScalePageLayoutView="0" workbookViewId="0" topLeftCell="A1">
      <selection activeCell="I22" sqref="I22:J22"/>
    </sheetView>
  </sheetViews>
  <sheetFormatPr defaultColWidth="9.140625" defaultRowHeight="15"/>
  <cols>
    <col min="1" max="1" width="3.28125" style="132" bestFit="1" customWidth="1"/>
    <col min="2" max="2" width="51.00390625" style="132" bestFit="1" customWidth="1"/>
    <col min="3" max="14" width="8.57421875" style="132" bestFit="1" customWidth="1"/>
    <col min="15" max="15" width="12.57421875" style="132" bestFit="1" customWidth="1"/>
    <col min="16" max="16" width="3.57421875" style="132" bestFit="1" customWidth="1"/>
    <col min="17" max="17" width="12.421875" style="926" customWidth="1"/>
    <col min="18" max="16384" width="9.140625" style="132" customWidth="1"/>
  </cols>
  <sheetData>
    <row r="1" spans="1:16" ht="13.5">
      <c r="A1" s="1703" t="s">
        <v>1355</v>
      </c>
      <c r="B1" s="1703"/>
      <c r="C1" s="1703"/>
      <c r="D1" s="1703"/>
      <c r="E1" s="1703"/>
      <c r="F1" s="1703"/>
      <c r="G1" s="1703"/>
      <c r="H1" s="1703"/>
      <c r="I1" s="1703"/>
      <c r="J1" s="1703"/>
      <c r="K1" s="1703"/>
      <c r="L1" s="1703"/>
      <c r="M1" s="1703"/>
      <c r="N1" s="1703"/>
      <c r="O1" s="1703"/>
      <c r="P1" s="1703"/>
    </row>
    <row r="2" spans="1:16" ht="13.5">
      <c r="A2" s="263"/>
      <c r="B2" s="640"/>
      <c r="C2" s="265" t="s">
        <v>12</v>
      </c>
      <c r="D2" s="265" t="s">
        <v>13</v>
      </c>
      <c r="E2" s="265" t="s">
        <v>14</v>
      </c>
      <c r="F2" s="265" t="s">
        <v>15</v>
      </c>
      <c r="G2" s="265" t="s">
        <v>16</v>
      </c>
      <c r="H2" s="265" t="s">
        <v>17</v>
      </c>
      <c r="I2" s="265" t="s">
        <v>18</v>
      </c>
      <c r="J2" s="265" t="s">
        <v>19</v>
      </c>
      <c r="K2" s="265" t="s">
        <v>20</v>
      </c>
      <c r="L2" s="265" t="s">
        <v>21</v>
      </c>
      <c r="M2" s="265" t="s">
        <v>22</v>
      </c>
      <c r="N2" s="265" t="s">
        <v>23</v>
      </c>
      <c r="O2" s="211">
        <v>2022</v>
      </c>
      <c r="P2" s="264"/>
    </row>
    <row r="3" spans="1:16" ht="13.5">
      <c r="A3" s="1701" t="s">
        <v>461</v>
      </c>
      <c r="B3" s="761" t="s">
        <v>462</v>
      </c>
      <c r="C3" s="459">
        <v>414832.65463963</v>
      </c>
      <c r="D3" s="459">
        <v>282804.05740618997</v>
      </c>
      <c r="E3" s="459">
        <v>367149.3269101</v>
      </c>
      <c r="F3" s="459">
        <v>185113.06487986998</v>
      </c>
      <c r="G3" s="459">
        <v>207015.79092867998</v>
      </c>
      <c r="H3" s="459">
        <v>238877.14449222</v>
      </c>
      <c r="I3" s="459">
        <v>337065.71600382996</v>
      </c>
      <c r="J3" s="459">
        <v>401618.85173318</v>
      </c>
      <c r="K3" s="459">
        <v>287269</v>
      </c>
      <c r="L3" s="1154">
        <v>262344</v>
      </c>
      <c r="M3" s="459">
        <v>305151.88746364997</v>
      </c>
      <c r="N3" s="459">
        <v>570489.0118563102</v>
      </c>
      <c r="O3" s="1155">
        <v>3859730</v>
      </c>
      <c r="P3" s="1704">
        <f>O3+O4+O5+O6+O7+O8+O10+O11+O12+O9</f>
        <v>9547144.87016982</v>
      </c>
    </row>
    <row r="4" spans="1:16" ht="13.5">
      <c r="A4" s="1701"/>
      <c r="B4" s="761" t="s">
        <v>463</v>
      </c>
      <c r="C4" s="459">
        <v>85751.99055</v>
      </c>
      <c r="D4" s="459">
        <v>75785.88812754997</v>
      </c>
      <c r="E4" s="459">
        <v>64481.455828</v>
      </c>
      <c r="F4" s="459">
        <v>179932.48908799997</v>
      </c>
      <c r="G4" s="459">
        <v>126291.01502400001</v>
      </c>
      <c r="H4" s="459">
        <v>46853.00651100001</v>
      </c>
      <c r="I4" s="459">
        <v>17611</v>
      </c>
      <c r="J4" s="459">
        <v>9945</v>
      </c>
      <c r="K4" s="459">
        <v>28661</v>
      </c>
      <c r="L4" s="1154">
        <v>42791</v>
      </c>
      <c r="M4" s="1073">
        <v>74898.374623</v>
      </c>
      <c r="N4" s="1073">
        <v>143158.12961199996</v>
      </c>
      <c r="O4" s="1155">
        <v>896159</v>
      </c>
      <c r="P4" s="1704"/>
    </row>
    <row r="5" spans="1:16" ht="13.5">
      <c r="A5" s="1701"/>
      <c r="B5" s="762" t="s">
        <v>717</v>
      </c>
      <c r="C5" s="459">
        <v>29707.27116</v>
      </c>
      <c r="D5" s="459">
        <v>29381.90007299999</v>
      </c>
      <c r="E5" s="459">
        <v>26664.369934000002</v>
      </c>
      <c r="F5" s="459">
        <v>96219.34161700003</v>
      </c>
      <c r="G5" s="459">
        <v>52872.490208</v>
      </c>
      <c r="H5" s="459">
        <v>10145.751593</v>
      </c>
      <c r="I5" s="459">
        <v>1654</v>
      </c>
      <c r="J5" s="459">
        <v>1182</v>
      </c>
      <c r="K5" s="459">
        <v>5875</v>
      </c>
      <c r="L5" s="1154">
        <v>10196</v>
      </c>
      <c r="M5" s="459">
        <v>28451.327996999997</v>
      </c>
      <c r="N5" s="459">
        <v>62030.510168</v>
      </c>
      <c r="O5" s="1155">
        <f aca="true" t="shared" si="0" ref="O5:O12">SUM(C5:N5)</f>
        <v>354379.96275</v>
      </c>
      <c r="P5" s="1704"/>
    </row>
    <row r="6" spans="1:16" ht="13.5">
      <c r="A6" s="1701"/>
      <c r="B6" s="761" t="s">
        <v>464</v>
      </c>
      <c r="C6" s="459">
        <v>48715.652325129995</v>
      </c>
      <c r="D6" s="459">
        <v>23308.769273460002</v>
      </c>
      <c r="E6" s="459">
        <v>33749.64960252999</v>
      </c>
      <c r="F6" s="459">
        <v>46641.56700383</v>
      </c>
      <c r="G6" s="459">
        <v>42055.34634512999</v>
      </c>
      <c r="H6" s="459">
        <v>18232.84435963</v>
      </c>
      <c r="I6" s="459">
        <v>13514.356684829998</v>
      </c>
      <c r="J6" s="459">
        <v>12608.077167930001</v>
      </c>
      <c r="K6" s="459">
        <v>12100</v>
      </c>
      <c r="L6" s="1154">
        <v>13127</v>
      </c>
      <c r="M6" s="459">
        <v>26996.388142910004</v>
      </c>
      <c r="N6" s="459">
        <v>53868.41470944001</v>
      </c>
      <c r="O6" s="1155">
        <f t="shared" si="0"/>
        <v>344918.06561482</v>
      </c>
      <c r="P6" s="1704"/>
    </row>
    <row r="7" spans="1:16" ht="13.5">
      <c r="A7" s="1701"/>
      <c r="B7" s="763" t="s">
        <v>465</v>
      </c>
      <c r="C7" s="459">
        <v>24126.462665000006</v>
      </c>
      <c r="D7" s="459">
        <v>18088.895830000005</v>
      </c>
      <c r="E7" s="459">
        <v>21779.974445000007</v>
      </c>
      <c r="F7" s="459">
        <v>18191.034782000002</v>
      </c>
      <c r="G7" s="459">
        <v>13841.497300999998</v>
      </c>
      <c r="H7" s="459">
        <v>12119.877733999998</v>
      </c>
      <c r="I7" s="459">
        <v>15559.307741999999</v>
      </c>
      <c r="J7" s="459">
        <v>19283.059867999997</v>
      </c>
      <c r="K7" s="459">
        <v>20679</v>
      </c>
      <c r="L7" s="1154">
        <v>16317</v>
      </c>
      <c r="M7" s="459">
        <v>21420.625149999993</v>
      </c>
      <c r="N7" s="459">
        <v>34868.694967999996</v>
      </c>
      <c r="O7" s="1155">
        <f t="shared" si="0"/>
        <v>236275.43048500002</v>
      </c>
      <c r="P7" s="1704"/>
    </row>
    <row r="8" spans="1:16" ht="13.5">
      <c r="A8" s="1701"/>
      <c r="B8" s="763" t="s">
        <v>466</v>
      </c>
      <c r="C8" s="459">
        <v>25378.296524999998</v>
      </c>
      <c r="D8" s="459">
        <v>18054.480896000005</v>
      </c>
      <c r="E8" s="459">
        <v>19224.526445</v>
      </c>
      <c r="F8" s="459">
        <v>19924.300053</v>
      </c>
      <c r="G8" s="459">
        <v>19928.868589</v>
      </c>
      <c r="H8" s="459">
        <v>6301.233428</v>
      </c>
      <c r="I8" s="459">
        <v>10544.727590999999</v>
      </c>
      <c r="J8" s="459">
        <v>9562.528592</v>
      </c>
      <c r="K8" s="459">
        <v>8153</v>
      </c>
      <c r="L8" s="1154">
        <v>4159</v>
      </c>
      <c r="M8" s="459">
        <v>6681.633232000001</v>
      </c>
      <c r="N8" s="459">
        <v>20018.770878999996</v>
      </c>
      <c r="O8" s="1155">
        <f t="shared" si="0"/>
        <v>167931.36623</v>
      </c>
      <c r="P8" s="1704"/>
    </row>
    <row r="9" spans="1:16" ht="13.5">
      <c r="A9" s="1701"/>
      <c r="B9" s="763" t="s">
        <v>715</v>
      </c>
      <c r="C9" s="459">
        <v>60843.963296999995</v>
      </c>
      <c r="D9" s="459">
        <v>43509.236125999996</v>
      </c>
      <c r="E9" s="459">
        <v>38468.943278</v>
      </c>
      <c r="F9" s="459">
        <v>37505.45368599999</v>
      </c>
      <c r="G9" s="459">
        <v>38944.925862000004</v>
      </c>
      <c r="H9" s="459">
        <v>7862.355085000001</v>
      </c>
      <c r="I9" s="459">
        <v>12768.435946000001</v>
      </c>
      <c r="J9" s="459">
        <v>26812.664540999995</v>
      </c>
      <c r="K9" s="459">
        <v>7883</v>
      </c>
      <c r="L9" s="1154">
        <v>4545</v>
      </c>
      <c r="M9" s="459">
        <v>15879.606408</v>
      </c>
      <c r="N9" s="459">
        <v>27467.017809000004</v>
      </c>
      <c r="O9" s="1155">
        <f t="shared" si="0"/>
        <v>322490.60203799995</v>
      </c>
      <c r="P9" s="1704"/>
    </row>
    <row r="10" spans="1:16" ht="13.5">
      <c r="A10" s="1701"/>
      <c r="B10" s="763" t="s">
        <v>467</v>
      </c>
      <c r="C10" s="459">
        <v>11761.186847000003</v>
      </c>
      <c r="D10" s="459">
        <v>10919.929836</v>
      </c>
      <c r="E10" s="459">
        <v>6352.39717</v>
      </c>
      <c r="F10" s="459">
        <v>16041.400324999999</v>
      </c>
      <c r="G10" s="459">
        <v>6604.485584</v>
      </c>
      <c r="H10" s="459">
        <v>2505.766714</v>
      </c>
      <c r="I10" s="459">
        <v>1275.65367</v>
      </c>
      <c r="J10" s="459">
        <v>916.4851430000001</v>
      </c>
      <c r="K10" s="459">
        <v>5292</v>
      </c>
      <c r="L10" s="1154">
        <v>6445</v>
      </c>
      <c r="M10" s="459">
        <v>8557.458017</v>
      </c>
      <c r="N10" s="459">
        <v>14717.947780000002</v>
      </c>
      <c r="O10" s="1155">
        <f t="shared" si="0"/>
        <v>91389.711086</v>
      </c>
      <c r="P10" s="1704"/>
    </row>
    <row r="11" spans="1:16" ht="13.5">
      <c r="A11" s="1701"/>
      <c r="B11" s="763" t="s">
        <v>483</v>
      </c>
      <c r="C11" s="459">
        <v>35654.00075999999</v>
      </c>
      <c r="D11" s="459">
        <v>21084.562954</v>
      </c>
      <c r="E11" s="459">
        <v>16487.62121</v>
      </c>
      <c r="F11" s="459">
        <v>29409.666009999997</v>
      </c>
      <c r="G11" s="459">
        <v>10562.245988000002</v>
      </c>
      <c r="H11" s="459">
        <v>4335.188669</v>
      </c>
      <c r="I11" s="459">
        <v>16948.086678000003</v>
      </c>
      <c r="J11" s="459">
        <v>12403.106127000001</v>
      </c>
      <c r="K11" s="459">
        <v>8771</v>
      </c>
      <c r="L11" s="1154">
        <v>4468</v>
      </c>
      <c r="M11" s="459">
        <v>24523.249350000002</v>
      </c>
      <c r="N11" s="459">
        <v>45691.13921999998</v>
      </c>
      <c r="O11" s="1155">
        <f t="shared" si="0"/>
        <v>230337.86696599997</v>
      </c>
      <c r="P11" s="1704"/>
    </row>
    <row r="12" spans="1:16" ht="13.5">
      <c r="A12" s="1701"/>
      <c r="B12" s="228" t="s">
        <v>468</v>
      </c>
      <c r="C12" s="459">
        <v>192107.767</v>
      </c>
      <c r="D12" s="459">
        <v>239364.358</v>
      </c>
      <c r="E12" s="459">
        <v>283751.24899999995</v>
      </c>
      <c r="F12" s="459">
        <v>126651.97800000002</v>
      </c>
      <c r="G12" s="459">
        <v>171655.02900000004</v>
      </c>
      <c r="H12" s="459">
        <v>365508.3560000001</v>
      </c>
      <c r="I12" s="459">
        <v>448255</v>
      </c>
      <c r="J12" s="459">
        <v>419719</v>
      </c>
      <c r="K12" s="459">
        <v>273819</v>
      </c>
      <c r="L12" s="1154">
        <v>234762</v>
      </c>
      <c r="M12" s="459">
        <v>210513.75900000002</v>
      </c>
      <c r="N12" s="1156">
        <v>77425.36899999999</v>
      </c>
      <c r="O12" s="1155">
        <f t="shared" si="0"/>
        <v>3043532.865</v>
      </c>
      <c r="P12" s="1704"/>
    </row>
    <row r="13" spans="1:16" ht="13.5">
      <c r="A13" s="1701"/>
      <c r="B13" s="1701"/>
      <c r="C13" s="1701"/>
      <c r="D13" s="1701"/>
      <c r="E13" s="1701"/>
      <c r="F13" s="1701"/>
      <c r="G13" s="1701"/>
      <c r="H13" s="1701"/>
      <c r="I13" s="1701"/>
      <c r="J13" s="1701"/>
      <c r="K13" s="1701"/>
      <c r="L13" s="1701"/>
      <c r="M13" s="1701"/>
      <c r="N13" s="1701"/>
      <c r="O13" s="1701"/>
      <c r="P13" s="1701"/>
    </row>
    <row r="14" spans="1:16" ht="16.5" customHeight="1">
      <c r="A14" s="1701" t="s">
        <v>469</v>
      </c>
      <c r="B14" s="726" t="s">
        <v>470</v>
      </c>
      <c r="C14" s="727">
        <v>17792.2511259102</v>
      </c>
      <c r="D14" s="727">
        <v>14697.312015100002</v>
      </c>
      <c r="E14" s="727">
        <v>15237.403193799972</v>
      </c>
      <c r="F14" s="727">
        <v>24524.84803970003</v>
      </c>
      <c r="G14" s="727">
        <v>17692.81080914986</v>
      </c>
      <c r="H14" s="727">
        <v>13455.26673122</v>
      </c>
      <c r="I14" s="459">
        <v>17257.64721992016</v>
      </c>
      <c r="J14" s="459">
        <v>16942.442565160036</v>
      </c>
      <c r="K14" s="922">
        <v>12529</v>
      </c>
      <c r="L14" s="1157">
        <v>10936</v>
      </c>
      <c r="M14" s="459">
        <v>14973.49077648008</v>
      </c>
      <c r="N14" s="459">
        <v>23955.349322009803</v>
      </c>
      <c r="O14" s="764">
        <f>SUM(C14:N14)</f>
        <v>199993.82179845014</v>
      </c>
      <c r="P14" s="1705">
        <f>O14+O15+O16+O17</f>
        <v>9547144.85065637</v>
      </c>
    </row>
    <row r="15" spans="1:16" ht="16.5" customHeight="1">
      <c r="A15" s="1701"/>
      <c r="B15" s="641" t="s">
        <v>471</v>
      </c>
      <c r="C15" s="728">
        <v>715775.8561935499</v>
      </c>
      <c r="D15" s="728">
        <v>606652.61247984</v>
      </c>
      <c r="E15" s="728">
        <v>645277.76065821</v>
      </c>
      <c r="F15" s="728">
        <v>489739.26044279</v>
      </c>
      <c r="G15" s="728">
        <v>451412.37527296995</v>
      </c>
      <c r="H15" s="728">
        <v>492191.17355668</v>
      </c>
      <c r="I15" s="765">
        <v>571030.3557039199</v>
      </c>
      <c r="J15" s="765">
        <v>564471.97980811</v>
      </c>
      <c r="K15" s="923">
        <v>461190</v>
      </c>
      <c r="L15" s="1158">
        <v>454251</v>
      </c>
      <c r="M15" s="765">
        <v>500802.18640193995</v>
      </c>
      <c r="N15" s="765">
        <v>592773.0519798599</v>
      </c>
      <c r="O15" s="764">
        <f>SUM(C15:N15)</f>
        <v>6545567.61249787</v>
      </c>
      <c r="P15" s="1705"/>
    </row>
    <row r="16" spans="1:16" ht="16.5" customHeight="1">
      <c r="A16" s="1701"/>
      <c r="B16" s="641" t="s">
        <v>716</v>
      </c>
      <c r="C16" s="729">
        <v>42981.92944929999</v>
      </c>
      <c r="D16" s="729">
        <v>62427.103027260004</v>
      </c>
      <c r="E16" s="729">
        <v>75293.07397062004</v>
      </c>
      <c r="F16" s="729">
        <v>86605.08396221</v>
      </c>
      <c r="G16" s="729">
        <v>86343.52674769002</v>
      </c>
      <c r="H16" s="729">
        <v>81077.46529795002</v>
      </c>
      <c r="I16" s="729">
        <v>54926</v>
      </c>
      <c r="J16" s="729">
        <v>48854</v>
      </c>
      <c r="K16" s="924">
        <v>30361</v>
      </c>
      <c r="L16" s="1159">
        <v>20221</v>
      </c>
      <c r="M16" s="459">
        <v>50792.044205139995</v>
      </c>
      <c r="N16" s="459">
        <v>39173.89169987999</v>
      </c>
      <c r="O16" s="764">
        <f>SUM(C16:N16)</f>
        <v>679056.11836005</v>
      </c>
      <c r="P16" s="1705"/>
    </row>
    <row r="17" spans="1:16" ht="16.5" customHeight="1">
      <c r="A17" s="1701"/>
      <c r="B17" s="726" t="s">
        <v>472</v>
      </c>
      <c r="C17" s="727">
        <v>152329.209</v>
      </c>
      <c r="D17" s="727">
        <v>78525.051</v>
      </c>
      <c r="E17" s="727">
        <v>142301.27599999998</v>
      </c>
      <c r="F17" s="727">
        <v>154761.103</v>
      </c>
      <c r="G17" s="727">
        <v>134322.982</v>
      </c>
      <c r="H17" s="727">
        <v>126017.619</v>
      </c>
      <c r="I17" s="459">
        <v>231981.83299999993</v>
      </c>
      <c r="J17" s="459">
        <v>283781.924</v>
      </c>
      <c r="K17" s="922">
        <v>154422</v>
      </c>
      <c r="L17" s="1157">
        <v>113745</v>
      </c>
      <c r="M17" s="459">
        <v>156506.588</v>
      </c>
      <c r="N17" s="1156">
        <v>393832.71300000005</v>
      </c>
      <c r="O17" s="764">
        <f>SUM(C17:N17)</f>
        <v>2122527.298</v>
      </c>
      <c r="P17" s="1705"/>
    </row>
    <row r="18" spans="1:17" ht="13.5">
      <c r="A18" s="1700"/>
      <c r="B18" s="1701"/>
      <c r="C18" s="1701"/>
      <c r="D18" s="1701"/>
      <c r="E18" s="1701"/>
      <c r="F18" s="1701"/>
      <c r="G18" s="1701"/>
      <c r="H18" s="1701"/>
      <c r="I18" s="1701"/>
      <c r="J18" s="1701"/>
      <c r="K18" s="1701"/>
      <c r="L18" s="1701"/>
      <c r="M18" s="1701"/>
      <c r="N18" s="1701"/>
      <c r="O18" s="1701"/>
      <c r="P18" s="1702"/>
      <c r="Q18" s="307"/>
    </row>
    <row r="19" spans="1:16" ht="13.5">
      <c r="A19" s="266"/>
      <c r="B19" s="228" t="s">
        <v>470</v>
      </c>
      <c r="C19" s="459">
        <v>17792.2511259102</v>
      </c>
      <c r="D19" s="459">
        <v>14697.312015100002</v>
      </c>
      <c r="E19" s="459">
        <v>15237.403193799972</v>
      </c>
      <c r="F19" s="459">
        <v>24524.84803970003</v>
      </c>
      <c r="G19" s="459">
        <v>17692.81080914986</v>
      </c>
      <c r="H19" s="459">
        <v>13455.26673122</v>
      </c>
      <c r="I19" s="736">
        <v>17257.64721992016</v>
      </c>
      <c r="J19" s="736">
        <v>16942.442565160036</v>
      </c>
      <c r="K19" s="922">
        <v>12529</v>
      </c>
      <c r="L19" s="922">
        <v>10936</v>
      </c>
      <c r="M19" s="459">
        <v>14973.49077648008</v>
      </c>
      <c r="N19" s="459">
        <v>23955.349322009803</v>
      </c>
      <c r="O19" s="642">
        <f>SUM(C19:N19)</f>
        <v>199993.82179845014</v>
      </c>
      <c r="P19" s="229"/>
    </row>
    <row r="20" spans="1:16" ht="13.5">
      <c r="A20" s="266"/>
      <c r="B20" s="228" t="s">
        <v>473</v>
      </c>
      <c r="C20" s="737">
        <v>1.9154536186439346</v>
      </c>
      <c r="D20" s="738">
        <v>1.9280167835292061</v>
      </c>
      <c r="E20" s="739">
        <v>1.7352508945573033</v>
      </c>
      <c r="F20" s="740">
        <v>3.245614712319969</v>
      </c>
      <c r="G20" s="739">
        <v>2.5650241872443424</v>
      </c>
      <c r="H20" s="739">
        <v>1.8878185523199869</v>
      </c>
      <c r="I20" s="739">
        <v>1.97</v>
      </c>
      <c r="J20" s="739">
        <v>1.85</v>
      </c>
      <c r="K20" s="739">
        <v>1.9</v>
      </c>
      <c r="L20" s="739">
        <v>1.83</v>
      </c>
      <c r="M20" s="739">
        <v>2.07</v>
      </c>
      <c r="N20" s="739">
        <v>2.28</v>
      </c>
      <c r="O20" s="741">
        <v>2.09</v>
      </c>
      <c r="P20" s="229"/>
    </row>
    <row r="21" ht="14.25" thickBot="1"/>
    <row r="22" spans="3:14" ht="15" thickBot="1">
      <c r="C22" s="267"/>
      <c r="I22" s="1698" t="s">
        <v>1055</v>
      </c>
      <c r="J22" s="1699"/>
      <c r="K22" s="925"/>
      <c r="L22" s="925"/>
      <c r="M22" s="925"/>
      <c r="N22" s="925"/>
    </row>
  </sheetData>
  <sheetProtection/>
  <mergeCells count="8">
    <mergeCell ref="I22:J22"/>
    <mergeCell ref="A18:P18"/>
    <mergeCell ref="A1:P1"/>
    <mergeCell ref="A3:A12"/>
    <mergeCell ref="P3:P12"/>
    <mergeCell ref="A14:A17"/>
    <mergeCell ref="P14:P17"/>
    <mergeCell ref="A13:P13"/>
  </mergeCells>
  <printOptions/>
  <pageMargins left="0.25" right="0.25" top="0.75" bottom="0.75" header="0.3" footer="0.3"/>
  <pageSetup fitToHeight="1" fitToWidth="1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3"/>
  <sheetViews>
    <sheetView showGridLines="0" zoomScalePageLayoutView="0" workbookViewId="0" topLeftCell="A13">
      <selection activeCell="J24" sqref="J24"/>
    </sheetView>
  </sheetViews>
  <sheetFormatPr defaultColWidth="9.140625" defaultRowHeight="15"/>
  <cols>
    <col min="1" max="1" width="3.421875" style="0" customWidth="1"/>
    <col min="2" max="2" width="8.421875" style="0" customWidth="1"/>
    <col min="3" max="3" width="9.8515625" style="0" customWidth="1"/>
    <col min="4" max="4" width="2.7109375" style="0" customWidth="1"/>
    <col min="5" max="5" width="10.7109375" style="0" customWidth="1"/>
    <col min="6" max="6" width="9.28125" style="0" customWidth="1"/>
    <col min="7" max="7" width="14.57421875" style="0" customWidth="1"/>
    <col min="8" max="8" width="3.421875" style="0" customWidth="1"/>
    <col min="9" max="9" width="8.140625" style="0" customWidth="1"/>
    <col min="10" max="10" width="10.421875" style="0" customWidth="1"/>
    <col min="11" max="11" width="10.57421875" style="0" customWidth="1"/>
    <col min="12" max="12" width="2.8515625" style="0" customWidth="1"/>
    <col min="13" max="13" width="3.00390625" style="0" customWidth="1"/>
    <col min="14" max="14" width="9.7109375" style="0" customWidth="1"/>
    <col min="15" max="15" width="8.00390625" style="0" customWidth="1"/>
    <col min="16" max="16" width="10.00390625" style="0" customWidth="1"/>
    <col min="17" max="17" width="6.8515625" style="0" customWidth="1"/>
    <col min="18" max="18" width="13.421875" style="0" customWidth="1"/>
    <col min="19" max="19" width="5.7109375" style="0" customWidth="1"/>
    <col min="20" max="20" width="7.28125" style="0" customWidth="1"/>
    <col min="21" max="21" width="9.7109375" style="0" customWidth="1"/>
    <col min="22" max="22" width="8.7109375" style="0" customWidth="1"/>
    <col min="23" max="23" width="7.57421875" style="0" bestFit="1" customWidth="1"/>
    <col min="24" max="24" width="2.8515625" style="0" customWidth="1"/>
    <col min="25" max="25" width="9.421875" style="0" customWidth="1"/>
    <col min="26" max="26" width="9.57421875" style="0" customWidth="1"/>
    <col min="28" max="28" width="11.57421875" style="0" bestFit="1" customWidth="1"/>
  </cols>
  <sheetData>
    <row r="1" ht="15" thickBot="1"/>
    <row r="2" spans="1:26" ht="18.75" customHeight="1" thickBot="1">
      <c r="A2" s="1748" t="s">
        <v>1356</v>
      </c>
      <c r="B2" s="1749"/>
      <c r="C2" s="1749"/>
      <c r="D2" s="1749"/>
      <c r="E2" s="1749"/>
      <c r="F2" s="1749"/>
      <c r="G2" s="1749"/>
      <c r="H2" s="1749"/>
      <c r="I2" s="1749"/>
      <c r="J2" s="1749"/>
      <c r="K2" s="1749"/>
      <c r="L2" s="1749"/>
      <c r="M2" s="1749"/>
      <c r="N2" s="1749"/>
      <c r="O2" s="1749"/>
      <c r="P2" s="1749"/>
      <c r="Q2" s="1749"/>
      <c r="R2" s="1749"/>
      <c r="S2" s="1749"/>
      <c r="T2" s="1749"/>
      <c r="U2" s="1749"/>
      <c r="V2" s="1749"/>
      <c r="W2" s="1749"/>
      <c r="X2" s="1749"/>
      <c r="Y2" s="1749"/>
      <c r="Z2" s="1750"/>
    </row>
    <row r="3" ht="15" thickBot="1"/>
    <row r="4" spans="2:26" ht="52.5" customHeight="1" thickBot="1">
      <c r="B4" s="1772" t="s">
        <v>491</v>
      </c>
      <c r="C4" s="1774"/>
      <c r="E4" s="1772" t="s">
        <v>484</v>
      </c>
      <c r="F4" s="1773"/>
      <c r="G4" s="1774"/>
      <c r="I4" s="1772" t="s">
        <v>485</v>
      </c>
      <c r="J4" s="1773"/>
      <c r="K4" s="1774"/>
      <c r="L4" s="99"/>
      <c r="N4" s="1763" t="s">
        <v>486</v>
      </c>
      <c r="O4" s="1775"/>
      <c r="P4" s="1775"/>
      <c r="Q4" s="1775"/>
      <c r="R4" s="1775"/>
      <c r="S4" s="1775"/>
      <c r="T4" s="1775"/>
      <c r="U4" s="1775"/>
      <c r="V4" s="1775"/>
      <c r="W4" s="1774"/>
      <c r="Y4" s="1772" t="s">
        <v>492</v>
      </c>
      <c r="Z4" s="1774"/>
    </row>
    <row r="5" spans="2:26" ht="15" thickBot="1">
      <c r="B5" s="1716">
        <v>3859730</v>
      </c>
      <c r="C5" s="1718"/>
      <c r="D5" s="103"/>
      <c r="E5" s="1716">
        <v>894130</v>
      </c>
      <c r="F5" s="1717"/>
      <c r="G5" s="1718"/>
      <c r="H5" s="103"/>
      <c r="I5" s="1716">
        <v>236276</v>
      </c>
      <c r="J5" s="1717"/>
      <c r="K5" s="1718"/>
      <c r="L5" s="460"/>
      <c r="N5" s="1760" t="s">
        <v>487</v>
      </c>
      <c r="O5" s="1761"/>
      <c r="P5" s="1744" t="s">
        <v>488</v>
      </c>
      <c r="Q5" s="1767"/>
      <c r="R5" s="262" t="s">
        <v>712</v>
      </c>
      <c r="S5" s="1768" t="s">
        <v>489</v>
      </c>
      <c r="T5" s="1769"/>
      <c r="U5" s="1744" t="s">
        <v>490</v>
      </c>
      <c r="V5" s="1745"/>
      <c r="W5" s="639" t="s">
        <v>1051</v>
      </c>
      <c r="Y5" s="1716">
        <v>3043533</v>
      </c>
      <c r="Z5" s="1718"/>
    </row>
    <row r="6" spans="2:26" ht="19.5" customHeight="1" thickBot="1">
      <c r="B6" s="1719"/>
      <c r="C6" s="1721"/>
      <c r="D6" s="103"/>
      <c r="E6" s="1719"/>
      <c r="F6" s="1720"/>
      <c r="G6" s="1721"/>
      <c r="H6" s="102"/>
      <c r="I6" s="1719"/>
      <c r="J6" s="1720"/>
      <c r="K6" s="1721"/>
      <c r="L6" s="460"/>
      <c r="M6" s="100"/>
      <c r="N6" s="1746">
        <v>344918</v>
      </c>
      <c r="O6" s="1762"/>
      <c r="P6" s="1746">
        <v>167931</v>
      </c>
      <c r="Q6" s="1762"/>
      <c r="R6" s="1160">
        <v>322491</v>
      </c>
      <c r="S6" s="1770">
        <v>230338</v>
      </c>
      <c r="T6" s="1771"/>
      <c r="U6" s="1746">
        <v>91390</v>
      </c>
      <c r="V6" s="1747"/>
      <c r="W6" s="1435">
        <v>2029</v>
      </c>
      <c r="Y6" s="1719"/>
      <c r="Z6" s="1721"/>
    </row>
    <row r="7" spans="1:26" ht="19.5" customHeight="1">
      <c r="A7" s="100"/>
      <c r="B7" s="100"/>
      <c r="C7" s="106"/>
      <c r="D7" s="100"/>
      <c r="E7" s="100"/>
      <c r="F7" s="106"/>
      <c r="G7" s="101"/>
      <c r="H7" s="100"/>
      <c r="I7" s="100"/>
      <c r="J7" s="106"/>
      <c r="K7" s="100"/>
      <c r="L7" s="100"/>
      <c r="M7" s="100"/>
      <c r="N7" s="100"/>
      <c r="O7" s="106"/>
      <c r="P7" s="100"/>
      <c r="Q7" s="106"/>
      <c r="R7" s="100"/>
      <c r="S7" s="100"/>
      <c r="T7" s="106"/>
      <c r="U7" s="100"/>
      <c r="V7" s="100"/>
      <c r="W7" s="638"/>
      <c r="X7" s="100"/>
      <c r="Y7" s="100"/>
      <c r="Z7" s="107"/>
    </row>
    <row r="8" spans="3:26" ht="19.5" customHeight="1" thickBot="1">
      <c r="C8" s="105"/>
      <c r="D8" s="105"/>
      <c r="E8" s="105"/>
      <c r="F8" s="105"/>
      <c r="G8" s="111"/>
      <c r="H8" s="105"/>
      <c r="I8" s="105"/>
      <c r="J8" s="105"/>
      <c r="K8" s="109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0"/>
    </row>
    <row r="9" spans="4:26" ht="19.5" customHeight="1">
      <c r="D9" s="100"/>
      <c r="E9" s="1751">
        <f>B5+E5+I5+N6+P6+R6+S6+U6+W6+Y5+B13</f>
        <v>9547145</v>
      </c>
      <c r="F9" s="1752"/>
      <c r="G9" s="1752"/>
      <c r="H9" s="1752"/>
      <c r="I9" s="1752"/>
      <c r="J9" s="1752"/>
      <c r="K9" s="1753"/>
      <c r="L9" s="543"/>
      <c r="M9" s="104"/>
      <c r="N9" s="1736" t="s">
        <v>495</v>
      </c>
      <c r="O9" s="1736"/>
      <c r="P9" s="1736"/>
      <c r="Q9" s="1736"/>
      <c r="R9" s="1736"/>
      <c r="S9" s="1736"/>
      <c r="T9" s="1736"/>
      <c r="U9" s="1736"/>
      <c r="V9" s="1736"/>
      <c r="W9" s="1736"/>
      <c r="X9" s="1736"/>
      <c r="Y9" s="1736"/>
      <c r="Z9" s="1736"/>
    </row>
    <row r="10" spans="1:26" ht="19.5" customHeight="1" thickBot="1">
      <c r="A10" s="100"/>
      <c r="B10" s="100"/>
      <c r="C10" s="100"/>
      <c r="D10" s="100"/>
      <c r="E10" s="1754"/>
      <c r="F10" s="1755"/>
      <c r="G10" s="1755"/>
      <c r="H10" s="1755"/>
      <c r="I10" s="1755"/>
      <c r="J10" s="1755"/>
      <c r="K10" s="1756"/>
      <c r="L10" s="543"/>
      <c r="M10" s="110"/>
      <c r="N10" s="1736"/>
      <c r="O10" s="1736"/>
      <c r="P10" s="1736"/>
      <c r="Q10" s="1736"/>
      <c r="R10" s="1736"/>
      <c r="S10" s="1736"/>
      <c r="T10" s="1736"/>
      <c r="U10" s="1736"/>
      <c r="V10" s="1736"/>
      <c r="W10" s="1736"/>
      <c r="X10" s="1736"/>
      <c r="Y10" s="1736"/>
      <c r="Z10" s="1736"/>
    </row>
    <row r="11" spans="1:16" ht="19.5" customHeight="1">
      <c r="A11" s="100"/>
      <c r="B11" s="100"/>
      <c r="C11" s="100"/>
      <c r="D11" s="100"/>
      <c r="E11" s="108"/>
      <c r="F11" s="100"/>
      <c r="G11" s="101"/>
      <c r="H11" s="101"/>
      <c r="I11" s="101"/>
      <c r="J11" s="101"/>
      <c r="K11" s="114"/>
      <c r="L11" s="488"/>
      <c r="M11" s="101"/>
      <c r="N11" s="100"/>
      <c r="O11" s="100"/>
      <c r="P11" s="100"/>
    </row>
    <row r="12" spans="1:16" ht="19.5" customHeight="1" thickBot="1">
      <c r="A12" s="100"/>
      <c r="B12" s="100"/>
      <c r="D12" s="100"/>
      <c r="E12" s="108"/>
      <c r="J12" s="100"/>
      <c r="K12" s="108"/>
      <c r="L12" s="100"/>
      <c r="N12" s="100"/>
      <c r="O12" s="100"/>
      <c r="P12" s="100"/>
    </row>
    <row r="13" spans="1:29" ht="19.5" customHeight="1" thickBot="1">
      <c r="A13" s="100"/>
      <c r="B13" s="1741">
        <v>354379</v>
      </c>
      <c r="C13" s="1742"/>
      <c r="D13" s="1742"/>
      <c r="E13" s="1743"/>
      <c r="J13" s="109"/>
      <c r="K13" s="105"/>
      <c r="L13" s="105"/>
      <c r="M13" s="105"/>
      <c r="N13" s="105"/>
      <c r="O13" s="112"/>
      <c r="P13" s="105"/>
      <c r="Q13" s="105"/>
      <c r="R13" s="105"/>
      <c r="S13" s="105"/>
      <c r="T13" s="105"/>
      <c r="U13" s="112"/>
      <c r="V13" s="105"/>
      <c r="W13" s="105"/>
      <c r="X13" s="105"/>
      <c r="Y13" s="105"/>
      <c r="Z13" s="113"/>
      <c r="AC13" s="120"/>
    </row>
    <row r="14" spans="1:26" ht="42" customHeight="1" thickBot="1">
      <c r="A14" s="100"/>
      <c r="B14" s="1781" t="s">
        <v>98</v>
      </c>
      <c r="C14" s="1782"/>
      <c r="D14" s="1781" t="s">
        <v>636</v>
      </c>
      <c r="E14" s="1782"/>
      <c r="F14" s="1782"/>
      <c r="G14" s="1783"/>
      <c r="J14" s="108"/>
      <c r="K14" s="99"/>
      <c r="L14" s="99"/>
      <c r="N14" s="1763" t="s">
        <v>493</v>
      </c>
      <c r="O14" s="1764"/>
      <c r="P14" s="99"/>
      <c r="T14" s="1763" t="s">
        <v>593</v>
      </c>
      <c r="U14" s="1775"/>
      <c r="V14" s="1775"/>
      <c r="W14" s="1764"/>
      <c r="Y14" s="1763" t="s">
        <v>494</v>
      </c>
      <c r="Z14" s="1764"/>
    </row>
    <row r="15" spans="1:29" ht="19.5" customHeight="1" thickBot="1">
      <c r="A15" s="100"/>
      <c r="B15" s="1787">
        <v>25423</v>
      </c>
      <c r="C15" s="1739"/>
      <c r="D15" s="1784">
        <v>827991</v>
      </c>
      <c r="E15" s="1785"/>
      <c r="F15" s="1785"/>
      <c r="G15" s="1786"/>
      <c r="J15" s="108"/>
      <c r="K15" s="101"/>
      <c r="L15" s="101"/>
      <c r="N15" s="1765">
        <v>199993.82179845014</v>
      </c>
      <c r="O15" s="1766"/>
      <c r="P15" s="101"/>
      <c r="T15" s="1757">
        <v>679056.11836005</v>
      </c>
      <c r="U15" s="1758"/>
      <c r="V15" s="1758"/>
      <c r="W15" s="1759"/>
      <c r="Y15" s="1765">
        <v>2122527</v>
      </c>
      <c r="Z15" s="1766"/>
      <c r="AC15" s="135"/>
    </row>
    <row r="16" spans="1:29" ht="19.5" customHeight="1" thickBot="1">
      <c r="A16" s="100"/>
      <c r="B16" s="1737">
        <f>B15+D15</f>
        <v>853414</v>
      </c>
      <c r="C16" s="1738"/>
      <c r="D16" s="1739"/>
      <c r="E16" s="1739"/>
      <c r="F16" s="1739"/>
      <c r="G16" s="1740"/>
      <c r="J16" s="113"/>
      <c r="K16" s="100"/>
      <c r="L16" s="100"/>
      <c r="T16">
        <v>213</v>
      </c>
      <c r="U16" s="544" t="s">
        <v>997</v>
      </c>
      <c r="V16" s="544"/>
      <c r="AC16" s="134"/>
    </row>
    <row r="17" spans="1:25" ht="39.75" customHeight="1" thickBot="1">
      <c r="A17" s="100"/>
      <c r="B17" s="1735"/>
      <c r="C17" s="1735"/>
      <c r="D17" s="1735"/>
      <c r="E17" s="1735"/>
      <c r="F17" s="1724" t="s">
        <v>783</v>
      </c>
      <c r="G17" s="1725"/>
      <c r="I17" s="1778" t="s">
        <v>784</v>
      </c>
      <c r="J17" s="1779"/>
      <c r="K17" s="1780"/>
      <c r="L17" s="489"/>
      <c r="O17" s="119"/>
      <c r="P17" s="119"/>
      <c r="Q17" s="119"/>
      <c r="R17" s="119"/>
      <c r="S17" s="119"/>
      <c r="Y17" s="118"/>
    </row>
    <row r="18" spans="1:12" ht="19.5" customHeight="1" thickBot="1">
      <c r="A18" s="100"/>
      <c r="F18" s="1722">
        <f>B16-B13</f>
        <v>499035</v>
      </c>
      <c r="G18" s="1723"/>
      <c r="H18" s="100"/>
      <c r="I18" s="1709">
        <f>E9-N15-T15-Y15</f>
        <v>6545568.059841501</v>
      </c>
      <c r="J18" s="1710"/>
      <c r="K18" s="1711"/>
      <c r="L18" s="490"/>
    </row>
    <row r="19" spans="7:22" ht="19.5" customHeight="1" thickBot="1">
      <c r="G19" s="108"/>
      <c r="H19" s="100"/>
      <c r="I19" s="100"/>
      <c r="J19" s="100"/>
      <c r="K19" s="108"/>
      <c r="L19" s="491"/>
      <c r="V19" s="120"/>
    </row>
    <row r="20" spans="6:30" ht="19.5" customHeight="1" thickBot="1">
      <c r="F20" s="1712">
        <v>7044604</v>
      </c>
      <c r="G20" s="1713"/>
      <c r="H20" s="1713"/>
      <c r="I20" s="1714"/>
      <c r="J20" s="1713"/>
      <c r="K20" s="1715"/>
      <c r="L20" s="126"/>
      <c r="M20" s="492" t="s">
        <v>496</v>
      </c>
      <c r="N20" s="493"/>
      <c r="O20" s="493"/>
      <c r="P20" s="493"/>
      <c r="Q20" s="493"/>
      <c r="R20" s="494"/>
      <c r="S20" s="115"/>
      <c r="T20" s="115"/>
      <c r="U20" s="116"/>
      <c r="V20" s="116"/>
      <c r="W20" s="141"/>
      <c r="X20" s="117"/>
      <c r="Y20" s="141"/>
      <c r="AD20" s="120"/>
    </row>
    <row r="21" spans="5:25" ht="19.5" customHeight="1">
      <c r="E21" s="100"/>
      <c r="F21" s="126"/>
      <c r="G21" s="126"/>
      <c r="H21" s="126"/>
      <c r="I21" s="545"/>
      <c r="J21" s="126"/>
      <c r="K21" s="126"/>
      <c r="L21" s="126"/>
      <c r="M21" s="125"/>
      <c r="N21" s="115"/>
      <c r="O21" s="115"/>
      <c r="P21" s="115"/>
      <c r="Q21" s="115"/>
      <c r="R21" s="115"/>
      <c r="S21" s="115"/>
      <c r="T21" s="115"/>
      <c r="U21" s="116"/>
      <c r="V21" s="116"/>
      <c r="W21" s="117"/>
      <c r="X21" s="117"/>
      <c r="Y21" s="117"/>
    </row>
    <row r="22" spans="10:18" ht="19.5" customHeight="1">
      <c r="J22" s="546"/>
      <c r="M22" s="1726" t="s">
        <v>999</v>
      </c>
      <c r="N22" s="1727"/>
      <c r="O22" s="1727"/>
      <c r="P22" s="1727"/>
      <c r="Q22" s="1727"/>
      <c r="R22" s="1728"/>
    </row>
    <row r="23" spans="10:18" ht="19.5" customHeight="1">
      <c r="J23" s="546"/>
      <c r="M23" s="547"/>
      <c r="N23" s="547"/>
      <c r="O23" s="547"/>
      <c r="P23" s="547"/>
      <c r="Q23" s="547"/>
      <c r="R23" s="547"/>
    </row>
    <row r="24" spans="6:18" ht="19.5" customHeight="1">
      <c r="F24" s="1729" t="s">
        <v>1001</v>
      </c>
      <c r="G24" s="1730"/>
      <c r="H24" s="1730"/>
      <c r="I24" s="1730"/>
      <c r="J24" s="530">
        <v>679056</v>
      </c>
      <c r="K24" s="1733">
        <f>J26</f>
        <v>879050</v>
      </c>
      <c r="M24" s="547"/>
      <c r="N24" s="547"/>
      <c r="O24" s="547"/>
      <c r="P24" s="547"/>
      <c r="Q24" s="547"/>
      <c r="R24" s="547"/>
    </row>
    <row r="25" spans="6:18" ht="19.5" customHeight="1">
      <c r="F25" s="1731" t="s">
        <v>97</v>
      </c>
      <c r="G25" s="1732"/>
      <c r="H25" s="1732"/>
      <c r="I25" s="1732"/>
      <c r="J25" s="530">
        <v>199994</v>
      </c>
      <c r="K25" s="1734"/>
      <c r="M25" s="547"/>
      <c r="N25" s="547"/>
      <c r="O25" s="547"/>
      <c r="P25" s="547"/>
      <c r="Q25" s="547"/>
      <c r="R25" s="547"/>
    </row>
    <row r="26" spans="10:18" ht="19.5" customHeight="1">
      <c r="J26" s="548">
        <f>SUM(J24:J25)</f>
        <v>879050</v>
      </c>
      <c r="M26" s="1726" t="s">
        <v>1002</v>
      </c>
      <c r="N26" s="1727"/>
      <c r="O26" s="1727"/>
      <c r="P26" s="1727"/>
      <c r="Q26" s="1727"/>
      <c r="R26" s="1728"/>
    </row>
    <row r="27" spans="10:18" ht="19.5" customHeight="1">
      <c r="J27" s="546"/>
      <c r="M27" s="547"/>
      <c r="N27" s="547"/>
      <c r="O27" s="547"/>
      <c r="P27" s="547"/>
      <c r="Q27" s="547"/>
      <c r="R27" s="547"/>
    </row>
    <row r="28" spans="11:18" ht="19.5" customHeight="1">
      <c r="K28" s="742">
        <f>F20+K24</f>
        <v>7923654</v>
      </c>
      <c r="M28" s="1706" t="s">
        <v>1000</v>
      </c>
      <c r="N28" s="1707"/>
      <c r="O28" s="1707"/>
      <c r="P28" s="1707"/>
      <c r="Q28" s="1707"/>
      <c r="R28" s="1708"/>
    </row>
    <row r="29" ht="19.5" customHeight="1"/>
    <row r="30" spans="2:23" ht="19.5" customHeight="1">
      <c r="B30" s="1776" t="s">
        <v>595</v>
      </c>
      <c r="C30" s="1776"/>
      <c r="D30" s="1776"/>
      <c r="E30" s="1776"/>
      <c r="F30" s="1776"/>
      <c r="G30" s="1776"/>
      <c r="H30" s="1776"/>
      <c r="I30" s="1776"/>
      <c r="J30" s="213"/>
      <c r="K30" s="214"/>
      <c r="L30" s="214"/>
      <c r="M30" s="214"/>
      <c r="N30" s="81"/>
      <c r="O30" s="115"/>
      <c r="P30" s="115"/>
      <c r="Q30" s="115"/>
      <c r="R30" s="115"/>
      <c r="S30" s="115"/>
      <c r="T30" s="115"/>
      <c r="U30" s="116"/>
      <c r="V30" s="116"/>
      <c r="W30" s="117"/>
    </row>
    <row r="31" spans="2:23" ht="19.5" customHeight="1">
      <c r="B31" s="215" t="s">
        <v>410</v>
      </c>
      <c r="C31" s="1776" t="s">
        <v>409</v>
      </c>
      <c r="D31" s="1776"/>
      <c r="E31" s="1776"/>
      <c r="F31" s="1776"/>
      <c r="G31" s="1776"/>
      <c r="H31" s="1776"/>
      <c r="I31" s="1776"/>
      <c r="J31" s="213"/>
      <c r="K31" s="214"/>
      <c r="L31" s="214"/>
      <c r="M31" s="214"/>
      <c r="N31" s="81"/>
      <c r="O31" s="115"/>
      <c r="P31" s="115"/>
      <c r="Q31" s="115"/>
      <c r="R31" s="115"/>
      <c r="S31" s="115"/>
      <c r="T31" s="115"/>
      <c r="U31" s="116"/>
      <c r="V31" s="116"/>
      <c r="W31" s="117"/>
    </row>
    <row r="32" spans="2:23" ht="19.5" customHeight="1">
      <c r="B32" s="215" t="s">
        <v>594</v>
      </c>
      <c r="C32" s="1776" t="s">
        <v>596</v>
      </c>
      <c r="D32" s="1776"/>
      <c r="E32" s="1776"/>
      <c r="F32" s="1776"/>
      <c r="G32" s="1776"/>
      <c r="H32" s="1776"/>
      <c r="I32" s="1776"/>
      <c r="J32" s="213"/>
      <c r="K32" s="214"/>
      <c r="L32" s="214"/>
      <c r="M32" s="214"/>
      <c r="N32" s="81"/>
      <c r="O32" s="115"/>
      <c r="P32" s="115"/>
      <c r="Q32" s="115"/>
      <c r="R32" s="115"/>
      <c r="S32" s="115"/>
      <c r="T32" s="115"/>
      <c r="U32" s="116"/>
      <c r="V32" s="116"/>
      <c r="W32" s="117"/>
    </row>
    <row r="33" spans="15:23" ht="21">
      <c r="O33" s="1777" t="s">
        <v>523</v>
      </c>
      <c r="P33" s="1777"/>
      <c r="Q33" s="1777"/>
      <c r="R33" s="1777"/>
      <c r="S33" s="1777"/>
      <c r="T33" s="1777"/>
      <c r="U33" s="1777"/>
      <c r="V33" s="1777"/>
      <c r="W33" s="1777"/>
    </row>
  </sheetData>
  <sheetProtection/>
  <mergeCells count="48">
    <mergeCell ref="C31:I31"/>
    <mergeCell ref="C32:I32"/>
    <mergeCell ref="B30:I30"/>
    <mergeCell ref="O33:W33"/>
    <mergeCell ref="Y4:Z4"/>
    <mergeCell ref="Y5:Z6"/>
    <mergeCell ref="B4:C4"/>
    <mergeCell ref="B5:C6"/>
    <mergeCell ref="I17:K17"/>
    <mergeCell ref="Y14:Z14"/>
    <mergeCell ref="Y15:Z15"/>
    <mergeCell ref="T14:W14"/>
    <mergeCell ref="D14:G14"/>
    <mergeCell ref="D15:G15"/>
    <mergeCell ref="B14:C14"/>
    <mergeCell ref="B15:C15"/>
    <mergeCell ref="A2:Z2"/>
    <mergeCell ref="E9:K10"/>
    <mergeCell ref="T15:W15"/>
    <mergeCell ref="N5:O5"/>
    <mergeCell ref="N6:O6"/>
    <mergeCell ref="N14:O14"/>
    <mergeCell ref="N15:O15"/>
    <mergeCell ref="P5:Q5"/>
    <mergeCell ref="P6:Q6"/>
    <mergeCell ref="S5:T5"/>
    <mergeCell ref="S6:T6"/>
    <mergeCell ref="E4:G4"/>
    <mergeCell ref="I4:K4"/>
    <mergeCell ref="N4:W4"/>
    <mergeCell ref="B17:E17"/>
    <mergeCell ref="N9:Z10"/>
    <mergeCell ref="B16:G16"/>
    <mergeCell ref="B13:E13"/>
    <mergeCell ref="E5:G6"/>
    <mergeCell ref="U5:V5"/>
    <mergeCell ref="U6:V6"/>
    <mergeCell ref="M28:R28"/>
    <mergeCell ref="I18:K18"/>
    <mergeCell ref="F20:K20"/>
    <mergeCell ref="I5:K6"/>
    <mergeCell ref="F18:G18"/>
    <mergeCell ref="F17:G17"/>
    <mergeCell ref="M22:R22"/>
    <mergeCell ref="F24:I24"/>
    <mergeCell ref="F25:I25"/>
    <mergeCell ref="M26:R26"/>
    <mergeCell ref="K24:K25"/>
  </mergeCells>
  <printOptions/>
  <pageMargins left="0.7" right="0.7" top="0.75" bottom="0.75" header="0.3" footer="0.3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85" zoomScaleSheetLayoutView="85" zoomScalePageLayoutView="0" workbookViewId="0" topLeftCell="A10">
      <selection activeCell="S32" sqref="S32"/>
    </sheetView>
  </sheetViews>
  <sheetFormatPr defaultColWidth="8.8515625" defaultRowHeight="15"/>
  <cols>
    <col min="1" max="1" width="78.140625" style="884" customWidth="1"/>
    <col min="2" max="2" width="9.421875" style="884" bestFit="1" customWidth="1"/>
    <col min="3" max="4" width="10.00390625" style="884" customWidth="1"/>
    <col min="5" max="5" width="9.421875" style="884" bestFit="1" customWidth="1"/>
    <col min="6" max="6" width="9.00390625" style="884" bestFit="1" customWidth="1"/>
    <col min="7" max="8" width="10.00390625" style="884" bestFit="1" customWidth="1"/>
    <col min="9" max="9" width="10.00390625" style="884" customWidth="1"/>
    <col min="10" max="10" width="9.00390625" style="884" bestFit="1" customWidth="1"/>
    <col min="11" max="11" width="10.00390625" style="884" bestFit="1" customWidth="1"/>
    <col min="12" max="12" width="10.57421875" style="884" customWidth="1"/>
    <col min="13" max="13" width="11.8515625" style="884" customWidth="1"/>
    <col min="14" max="14" width="15.140625" style="884" customWidth="1"/>
    <col min="15" max="16384" width="8.8515625" style="884" customWidth="1"/>
  </cols>
  <sheetData>
    <row r="1" spans="1:14" ht="19.5" customHeight="1">
      <c r="A1" s="1024" t="s">
        <v>86</v>
      </c>
      <c r="B1" s="1025" t="s">
        <v>12</v>
      </c>
      <c r="C1" s="1025" t="s">
        <v>13</v>
      </c>
      <c r="D1" s="1025" t="s">
        <v>14</v>
      </c>
      <c r="E1" s="1025" t="s">
        <v>15</v>
      </c>
      <c r="F1" s="1025" t="s">
        <v>16</v>
      </c>
      <c r="G1" s="1025" t="s">
        <v>17</v>
      </c>
      <c r="H1" s="1025" t="s">
        <v>18</v>
      </c>
      <c r="I1" s="1025" t="s">
        <v>19</v>
      </c>
      <c r="J1" s="1025" t="s">
        <v>20</v>
      </c>
      <c r="K1" s="1025" t="s">
        <v>21</v>
      </c>
      <c r="L1" s="1275" t="s">
        <v>22</v>
      </c>
      <c r="M1" s="1275" t="s">
        <v>23</v>
      </c>
      <c r="N1" s="1401">
        <v>2022</v>
      </c>
    </row>
    <row r="2" spans="1:14" ht="19.5" customHeight="1">
      <c r="A2" s="1022" t="s">
        <v>785</v>
      </c>
      <c r="B2" s="1404">
        <v>414832.65463963</v>
      </c>
      <c r="C2" s="1404">
        <v>282804.05740618997</v>
      </c>
      <c r="D2" s="1404">
        <v>367149.3269101</v>
      </c>
      <c r="E2" s="1404">
        <v>185113.06487986998</v>
      </c>
      <c r="F2" s="1404">
        <v>207015.79092867998</v>
      </c>
      <c r="G2" s="1404">
        <v>238877.14449222</v>
      </c>
      <c r="H2" s="1404">
        <v>337065.71600382996</v>
      </c>
      <c r="I2" s="1404">
        <v>401618.85173318</v>
      </c>
      <c r="J2" s="1404">
        <v>287269</v>
      </c>
      <c r="K2" s="1404">
        <v>262344</v>
      </c>
      <c r="L2" s="1405">
        <v>305151.88746364997</v>
      </c>
      <c r="M2" s="1405">
        <v>570489.0118563102</v>
      </c>
      <c r="N2" s="1406">
        <v>3859730</v>
      </c>
    </row>
    <row r="3" spans="1:14" ht="19.5" customHeight="1">
      <c r="A3" s="1022" t="s">
        <v>142</v>
      </c>
      <c r="B3" s="611">
        <f>'Prodh 2022'!E243-'Prodh 2022'!E72</f>
        <v>83067.91185912001</v>
      </c>
      <c r="C3" s="611">
        <f>'Prodh 2022'!F243-'Prodh 2022'!F72</f>
        <v>74131.77371793002</v>
      </c>
      <c r="D3" s="611">
        <f>'Prodh 2022'!G243-'Prodh 2022'!G72</f>
        <v>74478.91409690997</v>
      </c>
      <c r="E3" s="611">
        <f>'Prodh 2022'!H243-'Prodh 2022'!H72</f>
        <v>156218.13155230004</v>
      </c>
      <c r="F3" s="611">
        <f>'Prodh 2022'!I243-'Prodh 2022'!I72</f>
        <v>98407.86518959001</v>
      </c>
      <c r="G3" s="611">
        <f>'Prodh 2022'!J243-'Prodh 2022'!J72</f>
        <v>36583.16693434997</v>
      </c>
      <c r="H3" s="611">
        <f>'Prodh 2022'!K243-'Prodh 2022'!K72</f>
        <v>15174.817852609995</v>
      </c>
      <c r="I3" s="611">
        <f>'Prodh 2022'!L243-'Prodh 2022'!L72</f>
        <v>11284.363569559975</v>
      </c>
      <c r="J3" s="611">
        <f>'Prodh 2022'!M243-'Prodh 2022'!M72</f>
        <v>21354.05149096003</v>
      </c>
      <c r="K3" s="611">
        <f>'Prodh 2022'!N243-'Prodh 2022'!N72</f>
        <v>31644.425694879992</v>
      </c>
      <c r="L3" s="611">
        <f>'Prodh 2022'!O243-'Prodh 2022'!O72</f>
        <v>59996.24112193003</v>
      </c>
      <c r="M3" s="611">
        <f>'Prodh 2022'!P243-'Prodh 2022'!P72</f>
        <v>115557.00578083008</v>
      </c>
      <c r="N3" s="611">
        <f aca="true" t="shared" si="0" ref="N3:N13">SUM(B3:M3)</f>
        <v>777898.6688609702</v>
      </c>
    </row>
    <row r="4" spans="1:14" ht="19.5" customHeight="1">
      <c r="A4" s="1022" t="s">
        <v>143</v>
      </c>
      <c r="B4" s="1407">
        <v>85751.99054999997</v>
      </c>
      <c r="C4" s="1407">
        <v>75785.88604299999</v>
      </c>
      <c r="D4" s="1407">
        <v>64447.631132</v>
      </c>
      <c r="E4" s="1407">
        <v>179182.27789499998</v>
      </c>
      <c r="F4" s="1407">
        <v>126219.10420599999</v>
      </c>
      <c r="G4" s="1407">
        <v>46852.949089</v>
      </c>
      <c r="H4" s="1407">
        <v>17610.521814</v>
      </c>
      <c r="I4" s="1407">
        <v>9944.183969999998</v>
      </c>
      <c r="J4" s="1407">
        <v>28562.971410000006</v>
      </c>
      <c r="K4" s="1407">
        <v>42699</v>
      </c>
      <c r="L4" s="1407">
        <v>74535.348127</v>
      </c>
      <c r="M4" s="1407">
        <v>142536.18790800002</v>
      </c>
      <c r="N4" s="1407">
        <f t="shared" si="0"/>
        <v>894128.0521440001</v>
      </c>
    </row>
    <row r="5" spans="1:14" ht="19.5" customHeight="1">
      <c r="A5" s="1022" t="s">
        <v>75</v>
      </c>
      <c r="B5" s="1020">
        <v>24126.462665000006</v>
      </c>
      <c r="C5" s="1020">
        <v>18088.895830000005</v>
      </c>
      <c r="D5" s="1020">
        <v>21779.974445000007</v>
      </c>
      <c r="E5" s="1020">
        <v>18191.034782000002</v>
      </c>
      <c r="F5" s="1020">
        <v>13841.497300999998</v>
      </c>
      <c r="G5" s="1020">
        <v>12119.877733999998</v>
      </c>
      <c r="H5" s="1020">
        <v>15559.307741999999</v>
      </c>
      <c r="I5" s="1020">
        <v>19283.059867999997</v>
      </c>
      <c r="J5" s="1020">
        <v>20679.445023</v>
      </c>
      <c r="K5" s="1020">
        <v>16317.240557999998</v>
      </c>
      <c r="L5" s="1020">
        <v>21420.625149999993</v>
      </c>
      <c r="M5" s="1020">
        <v>34868.694967999996</v>
      </c>
      <c r="N5" s="1408">
        <f t="shared" si="0"/>
        <v>236276.11606600002</v>
      </c>
    </row>
    <row r="6" spans="1:14" ht="19.5" customHeight="1">
      <c r="A6" s="1022" t="s">
        <v>78</v>
      </c>
      <c r="B6" s="1409">
        <v>2464.71</v>
      </c>
      <c r="C6" s="1409">
        <v>2172.22</v>
      </c>
      <c r="D6" s="1409">
        <v>2273.3000000000006</v>
      </c>
      <c r="E6" s="1409">
        <v>2451.409999999999</v>
      </c>
      <c r="F6" s="1410">
        <v>2471.34</v>
      </c>
      <c r="G6" s="1410">
        <v>2129.0699999999997</v>
      </c>
      <c r="H6" s="1409">
        <v>2109.48</v>
      </c>
      <c r="I6" s="1409">
        <v>1629.8100000000013</v>
      </c>
      <c r="J6" s="1409">
        <v>1302.8399999999983</v>
      </c>
      <c r="K6" s="1409">
        <v>1857.0200000000004</v>
      </c>
      <c r="L6" s="1409">
        <v>2025.8099999999995</v>
      </c>
      <c r="M6" s="1409">
        <v>2536.290000000001</v>
      </c>
      <c r="N6" s="1411">
        <f t="shared" si="0"/>
        <v>25423.300000000003</v>
      </c>
    </row>
    <row r="7" spans="1:14" ht="19.5" customHeight="1">
      <c r="A7" s="1022" t="s">
        <v>79</v>
      </c>
      <c r="B7" s="1020">
        <v>48715.652325129995</v>
      </c>
      <c r="C7" s="1020">
        <v>23308.769273460002</v>
      </c>
      <c r="D7" s="1020">
        <v>33749.64960252999</v>
      </c>
      <c r="E7" s="1020">
        <v>46641.56700383</v>
      </c>
      <c r="F7" s="1020">
        <v>42055.34634512999</v>
      </c>
      <c r="G7" s="1020">
        <v>18232.84435963</v>
      </c>
      <c r="H7" s="1020">
        <v>13514.356684829998</v>
      </c>
      <c r="I7" s="1020">
        <v>12608.077167930001</v>
      </c>
      <c r="J7" s="1020">
        <v>12100.051837990002</v>
      </c>
      <c r="K7" s="1020">
        <v>13126.644034699999</v>
      </c>
      <c r="L7" s="1020">
        <v>26996.388142910004</v>
      </c>
      <c r="M7" s="1020">
        <v>53868.41470944001</v>
      </c>
      <c r="N7" s="1408">
        <f t="shared" si="0"/>
        <v>344917.76148751</v>
      </c>
    </row>
    <row r="8" spans="1:14" ht="19.5" customHeight="1">
      <c r="A8" s="1022" t="s">
        <v>101</v>
      </c>
      <c r="B8" s="1020">
        <v>11761.186847000003</v>
      </c>
      <c r="C8" s="1020">
        <v>10919.929836</v>
      </c>
      <c r="D8" s="1020">
        <v>6352.39717</v>
      </c>
      <c r="E8" s="1020">
        <v>16041.400324999999</v>
      </c>
      <c r="F8" s="1020">
        <v>6604.485584</v>
      </c>
      <c r="G8" s="1020">
        <v>2505.766714</v>
      </c>
      <c r="H8" s="1020">
        <v>1275.65367</v>
      </c>
      <c r="I8" s="1020">
        <v>916.4851430000001</v>
      </c>
      <c r="J8" s="1020">
        <v>5292.405789</v>
      </c>
      <c r="K8" s="1020">
        <v>6445.1082860000015</v>
      </c>
      <c r="L8" s="1020">
        <v>8557.458017</v>
      </c>
      <c r="M8" s="1020">
        <v>14717.947780000002</v>
      </c>
      <c r="N8" s="1406">
        <f t="shared" si="0"/>
        <v>91390.225161</v>
      </c>
    </row>
    <row r="9" spans="1:14" ht="19.5" customHeight="1">
      <c r="A9" s="1022" t="s">
        <v>504</v>
      </c>
      <c r="B9" s="1020">
        <v>35654.00075999999</v>
      </c>
      <c r="C9" s="1020">
        <v>21084.562954</v>
      </c>
      <c r="D9" s="1020">
        <v>16487.62121</v>
      </c>
      <c r="E9" s="1020">
        <v>29409.666009999997</v>
      </c>
      <c r="F9" s="1020">
        <v>10562.245988000002</v>
      </c>
      <c r="G9" s="1020">
        <v>4335.188669</v>
      </c>
      <c r="H9" s="1020">
        <v>16948.086678000003</v>
      </c>
      <c r="I9" s="1020">
        <v>12403.106127000001</v>
      </c>
      <c r="J9" s="1020">
        <v>8770.584468000001</v>
      </c>
      <c r="K9" s="1020">
        <v>4468.125805</v>
      </c>
      <c r="L9" s="1020">
        <v>24523.249350000002</v>
      </c>
      <c r="M9" s="1020">
        <v>45691.13921999998</v>
      </c>
      <c r="N9" s="1406">
        <f t="shared" si="0"/>
        <v>230337.57723899995</v>
      </c>
    </row>
    <row r="10" spans="1:14" ht="19.5" customHeight="1">
      <c r="A10" s="1022" t="s">
        <v>146</v>
      </c>
      <c r="B10" s="1020">
        <v>25378.296524999998</v>
      </c>
      <c r="C10" s="1020">
        <v>18054.480896000005</v>
      </c>
      <c r="D10" s="1020">
        <v>19224.526445</v>
      </c>
      <c r="E10" s="1020">
        <v>19924.300053</v>
      </c>
      <c r="F10" s="1020">
        <v>19928.868589</v>
      </c>
      <c r="G10" s="1020">
        <v>6301.233428</v>
      </c>
      <c r="H10" s="1020">
        <v>10544.727590999999</v>
      </c>
      <c r="I10" s="1020">
        <v>9562.528592</v>
      </c>
      <c r="J10" s="1020">
        <v>8152.970250000002</v>
      </c>
      <c r="K10" s="1020">
        <v>4158.581215999998</v>
      </c>
      <c r="L10" s="1020">
        <v>6681.633232000001</v>
      </c>
      <c r="M10" s="1020">
        <v>20018.770878999996</v>
      </c>
      <c r="N10" s="1406">
        <f t="shared" si="0"/>
        <v>167930.917696</v>
      </c>
    </row>
    <row r="11" spans="1:14" ht="19.5" customHeight="1">
      <c r="A11" s="1022" t="s">
        <v>728</v>
      </c>
      <c r="B11" s="1020">
        <v>60843.963296999995</v>
      </c>
      <c r="C11" s="1020">
        <v>43509.236125999996</v>
      </c>
      <c r="D11" s="1020">
        <v>38468.943278</v>
      </c>
      <c r="E11" s="1020">
        <v>37505.45368599999</v>
      </c>
      <c r="F11" s="1020">
        <v>38944.925862000004</v>
      </c>
      <c r="G11" s="1020">
        <v>7862.355085000001</v>
      </c>
      <c r="H11" s="1020">
        <v>12768.435946000001</v>
      </c>
      <c r="I11" s="1020">
        <v>26812.664540999995</v>
      </c>
      <c r="J11" s="1020">
        <v>7883.211635000001</v>
      </c>
      <c r="K11" s="1020">
        <v>4545.2039030000005</v>
      </c>
      <c r="L11" s="1020">
        <v>15879.606408</v>
      </c>
      <c r="M11" s="1020">
        <v>27467.017809000004</v>
      </c>
      <c r="N11" s="1406">
        <f t="shared" si="0"/>
        <v>322491.01757599995</v>
      </c>
    </row>
    <row r="12" spans="1:14" ht="19.5" customHeight="1">
      <c r="A12" s="1402" t="s">
        <v>1077</v>
      </c>
      <c r="B12" s="1412">
        <v>0</v>
      </c>
      <c r="C12" s="1412">
        <v>0</v>
      </c>
      <c r="D12" s="1412">
        <v>33.824696</v>
      </c>
      <c r="E12" s="1412">
        <v>750.211193</v>
      </c>
      <c r="F12" s="1412">
        <v>72</v>
      </c>
      <c r="G12" s="1412">
        <v>0</v>
      </c>
      <c r="H12" s="1412">
        <v>0</v>
      </c>
      <c r="I12" s="1412">
        <v>0</v>
      </c>
      <c r="J12" s="1412">
        <v>97.81024900000001</v>
      </c>
      <c r="K12" s="1412">
        <v>90</v>
      </c>
      <c r="L12" s="1412">
        <v>363</v>
      </c>
      <c r="M12" s="1412">
        <v>622</v>
      </c>
      <c r="N12" s="1411">
        <f t="shared" si="0"/>
        <v>2028.8461379999999</v>
      </c>
    </row>
    <row r="13" spans="1:14" ht="19.5" customHeight="1">
      <c r="A13" s="1022" t="s">
        <v>637</v>
      </c>
      <c r="B13" s="518">
        <v>2481.949</v>
      </c>
      <c r="C13" s="518">
        <v>2881.1095000000023</v>
      </c>
      <c r="D13" s="518">
        <v>3625.897999999999</v>
      </c>
      <c r="E13" s="518">
        <v>4072.903999999999</v>
      </c>
      <c r="F13" s="518">
        <v>4804.9270000000015</v>
      </c>
      <c r="G13" s="518">
        <v>4750.760000000002</v>
      </c>
      <c r="H13" s="518">
        <v>5213.952499999998</v>
      </c>
      <c r="I13" s="518">
        <v>11322.422600000002</v>
      </c>
      <c r="J13" s="518">
        <v>3914.240499999999</v>
      </c>
      <c r="K13" s="518">
        <v>3403.748</v>
      </c>
      <c r="L13" s="518">
        <v>1890.592999999998</v>
      </c>
      <c r="M13" s="518">
        <v>1729.6590000000008</v>
      </c>
      <c r="N13" s="1413">
        <f t="shared" si="0"/>
        <v>50092.163100000005</v>
      </c>
    </row>
    <row r="14" spans="1:14" ht="19.5" customHeight="1" thickBot="1">
      <c r="A14" s="1023" t="s">
        <v>83</v>
      </c>
      <c r="B14" s="1414">
        <f aca="true" t="shared" si="1" ref="B14:N14">SUM(B2:B13)</f>
        <v>795078.77846788</v>
      </c>
      <c r="C14" s="1414">
        <f t="shared" si="1"/>
        <v>572740.92158258</v>
      </c>
      <c r="D14" s="1414">
        <f t="shared" si="1"/>
        <v>648072.00698554</v>
      </c>
      <c r="E14" s="1414">
        <f t="shared" si="1"/>
        <v>695501.42138</v>
      </c>
      <c r="F14" s="1414">
        <f t="shared" si="1"/>
        <v>570928.3969934001</v>
      </c>
      <c r="G14" s="1414">
        <f t="shared" si="1"/>
        <v>380550.3565052</v>
      </c>
      <c r="H14" s="1414">
        <f t="shared" si="1"/>
        <v>447785.0564822699</v>
      </c>
      <c r="I14" s="1414">
        <f t="shared" si="1"/>
        <v>517385.55331167</v>
      </c>
      <c r="J14" s="1414">
        <f t="shared" si="1"/>
        <v>405379.5826529501</v>
      </c>
      <c r="K14" s="1414">
        <f t="shared" si="1"/>
        <v>391099.09749758005</v>
      </c>
      <c r="L14" s="1414">
        <f t="shared" si="1"/>
        <v>548021.8400124899</v>
      </c>
      <c r="M14" s="1414">
        <f t="shared" si="1"/>
        <v>1030102.1399105802</v>
      </c>
      <c r="N14" s="1414">
        <f t="shared" si="1"/>
        <v>7002644.645468481</v>
      </c>
    </row>
    <row r="15" spans="1:14" ht="19.5" customHeight="1" thickBot="1">
      <c r="A15" s="888"/>
      <c r="B15" s="885"/>
      <c r="C15" s="885"/>
      <c r="D15" s="885"/>
      <c r="E15" s="885"/>
      <c r="F15" s="885"/>
      <c r="G15" s="885"/>
      <c r="H15" s="885"/>
      <c r="I15" s="885"/>
      <c r="J15" s="885"/>
      <c r="K15" s="885"/>
      <c r="L15" s="885"/>
      <c r="M15" s="885"/>
      <c r="N15" s="885"/>
    </row>
    <row r="16" spans="1:14" ht="19.5" customHeight="1">
      <c r="A16" s="15" t="s">
        <v>84</v>
      </c>
      <c r="B16" s="1021" t="s">
        <v>12</v>
      </c>
      <c r="C16" s="1021" t="s">
        <v>13</v>
      </c>
      <c r="D16" s="1021" t="s">
        <v>14</v>
      </c>
      <c r="E16" s="1021" t="s">
        <v>15</v>
      </c>
      <c r="F16" s="1021" t="s">
        <v>16</v>
      </c>
      <c r="G16" s="1021" t="s">
        <v>17</v>
      </c>
      <c r="H16" s="1021" t="s">
        <v>18</v>
      </c>
      <c r="I16" s="1021" t="s">
        <v>19</v>
      </c>
      <c r="J16" s="1021" t="s">
        <v>20</v>
      </c>
      <c r="K16" s="1021" t="s">
        <v>21</v>
      </c>
      <c r="L16" s="1276" t="s">
        <v>22</v>
      </c>
      <c r="M16" s="1276" t="s">
        <v>23</v>
      </c>
      <c r="N16" s="1401">
        <v>2022</v>
      </c>
    </row>
    <row r="17" spans="1:14" ht="19.5" customHeight="1">
      <c r="A17" s="1022" t="s">
        <v>80</v>
      </c>
      <c r="B17" s="459">
        <v>152329.209</v>
      </c>
      <c r="C17" s="459">
        <v>78525.051</v>
      </c>
      <c r="D17" s="459">
        <v>142301.27599999998</v>
      </c>
      <c r="E17" s="459">
        <v>154761.103</v>
      </c>
      <c r="F17" s="459">
        <v>134322.982</v>
      </c>
      <c r="G17" s="459">
        <v>126017.619</v>
      </c>
      <c r="H17" s="459">
        <v>231981.83299999993</v>
      </c>
      <c r="I17" s="459">
        <v>283781.924</v>
      </c>
      <c r="J17" s="459">
        <v>154422.10499999998</v>
      </c>
      <c r="K17" s="459">
        <v>113744.67500000002</v>
      </c>
      <c r="L17" s="459">
        <v>156506.588</v>
      </c>
      <c r="M17" s="1156">
        <v>393832.71300000005</v>
      </c>
      <c r="N17" s="1403">
        <v>2122527.078</v>
      </c>
    </row>
    <row r="18" spans="1:14" ht="19.5" customHeight="1">
      <c r="A18" s="1022" t="s">
        <v>81</v>
      </c>
      <c r="B18" s="459">
        <v>192107.767</v>
      </c>
      <c r="C18" s="459">
        <v>239364.358</v>
      </c>
      <c r="D18" s="459">
        <v>283751.24899999995</v>
      </c>
      <c r="E18" s="459">
        <v>126651.97800000002</v>
      </c>
      <c r="F18" s="459">
        <v>171655.02900000004</v>
      </c>
      <c r="G18" s="459">
        <v>365508.3560000001</v>
      </c>
      <c r="H18" s="459">
        <v>448254.775</v>
      </c>
      <c r="I18" s="459">
        <v>419719.432</v>
      </c>
      <c r="J18" s="459">
        <v>273819.106</v>
      </c>
      <c r="K18" s="459">
        <v>234762.261</v>
      </c>
      <c r="L18" s="459">
        <v>210513.75900000002</v>
      </c>
      <c r="M18" s="1156">
        <v>77425.36899999999</v>
      </c>
      <c r="N18" s="1403">
        <v>3043533.4390000002</v>
      </c>
    </row>
    <row r="19" spans="1:14" ht="19.5" customHeight="1" thickBot="1">
      <c r="A19" s="1023" t="s">
        <v>82</v>
      </c>
      <c r="B19" s="1415">
        <v>-39778.55799999999</v>
      </c>
      <c r="C19" s="1415">
        <v>-160839.307</v>
      </c>
      <c r="D19" s="1415">
        <v>-141449.97299999997</v>
      </c>
      <c r="E19" s="1415">
        <v>28109.124999999985</v>
      </c>
      <c r="F19" s="1415">
        <v>-37332.04700000005</v>
      </c>
      <c r="G19" s="1415">
        <v>-239490.73700000008</v>
      </c>
      <c r="H19" s="1415">
        <v>-216272.9420000001</v>
      </c>
      <c r="I19" s="1415">
        <v>-135937.50799999997</v>
      </c>
      <c r="J19" s="1415">
        <v>-119397.00100000005</v>
      </c>
      <c r="K19" s="1415">
        <v>-121017.58599999998</v>
      </c>
      <c r="L19" s="1415">
        <v>-54007.17100000003</v>
      </c>
      <c r="M19" s="1415">
        <v>316407.34400000004</v>
      </c>
      <c r="N19" s="1403">
        <v>921006.361</v>
      </c>
    </row>
    <row r="20" spans="1:14" ht="19.5" customHeight="1" thickBot="1">
      <c r="A20" s="888"/>
      <c r="B20" s="885"/>
      <c r="C20" s="885"/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</row>
    <row r="21" spans="1:14" ht="19.5" customHeight="1">
      <c r="A21" s="15" t="s">
        <v>85</v>
      </c>
      <c r="B21" s="1025" t="s">
        <v>12</v>
      </c>
      <c r="C21" s="1025" t="s">
        <v>13</v>
      </c>
      <c r="D21" s="1025" t="s">
        <v>14</v>
      </c>
      <c r="E21" s="1025" t="s">
        <v>15</v>
      </c>
      <c r="F21" s="1021" t="s">
        <v>16</v>
      </c>
      <c r="G21" s="1021" t="s">
        <v>17</v>
      </c>
      <c r="H21" s="1021" t="s">
        <v>18</v>
      </c>
      <c r="I21" s="1021" t="s">
        <v>19</v>
      </c>
      <c r="J21" s="1025" t="s">
        <v>20</v>
      </c>
      <c r="K21" s="1025" t="s">
        <v>21</v>
      </c>
      <c r="L21" s="1276" t="s">
        <v>22</v>
      </c>
      <c r="M21" s="1276" t="s">
        <v>23</v>
      </c>
      <c r="N21" s="1401">
        <v>2022</v>
      </c>
    </row>
    <row r="22" spans="1:14" ht="12.75">
      <c r="A22" s="1026" t="s">
        <v>752</v>
      </c>
      <c r="B22" s="936">
        <v>454821.8979</v>
      </c>
      <c r="C22" s="937">
        <v>426809.82335</v>
      </c>
      <c r="D22" s="937">
        <v>428152.470075</v>
      </c>
      <c r="E22" s="937">
        <v>350669.54857</v>
      </c>
      <c r="F22" s="937">
        <v>315874.12911000004</v>
      </c>
      <c r="G22" s="937">
        <v>331988.6188899999</v>
      </c>
      <c r="H22" s="937">
        <v>370697.669091</v>
      </c>
      <c r="I22" s="937">
        <v>377795.98201000004</v>
      </c>
      <c r="J22" s="937">
        <v>314583.85550000006</v>
      </c>
      <c r="K22" s="937">
        <v>299399</v>
      </c>
      <c r="L22" s="1373">
        <v>332238.49346900004</v>
      </c>
      <c r="M22" s="1373">
        <v>405562.934579</v>
      </c>
      <c r="N22" s="1027">
        <v>4408595</v>
      </c>
    </row>
    <row r="23" spans="1:14" ht="14.25">
      <c r="A23" s="1026" t="s">
        <v>753</v>
      </c>
      <c r="B23" s="937">
        <v>84224.20670000001</v>
      </c>
      <c r="C23" s="937">
        <v>87385.97482100001</v>
      </c>
      <c r="D23" s="937">
        <v>92817.772664</v>
      </c>
      <c r="E23" s="937">
        <v>81530.429</v>
      </c>
      <c r="F23" s="937">
        <v>88357.679</v>
      </c>
      <c r="G23" s="937">
        <v>95101.2993</v>
      </c>
      <c r="H23" s="937">
        <v>103493.04081200002</v>
      </c>
      <c r="I23" s="937">
        <v>102216.089088</v>
      </c>
      <c r="J23" s="937">
        <v>88353.7248</v>
      </c>
      <c r="K23" s="937">
        <v>86577</v>
      </c>
      <c r="L23" s="806">
        <v>95719.35459999999</v>
      </c>
      <c r="M23" s="806">
        <v>96566.35519999999</v>
      </c>
      <c r="N23" s="1027">
        <v>1102342.925985</v>
      </c>
    </row>
    <row r="24" spans="1:14" ht="14.25">
      <c r="A24" s="1026" t="s">
        <v>960</v>
      </c>
      <c r="B24" s="938">
        <v>2130.24</v>
      </c>
      <c r="C24" s="938">
        <v>3675.8999999999996</v>
      </c>
      <c r="D24" s="938">
        <v>1769.28</v>
      </c>
      <c r="E24" s="938">
        <v>1050.9</v>
      </c>
      <c r="F24" s="938">
        <v>378.36</v>
      </c>
      <c r="G24" s="938">
        <v>913.8</v>
      </c>
      <c r="H24" s="938">
        <v>3406.92</v>
      </c>
      <c r="I24" s="938">
        <v>3562.62</v>
      </c>
      <c r="J24" s="938">
        <v>1458.12</v>
      </c>
      <c r="K24" s="927">
        <v>1428</v>
      </c>
      <c r="L24" s="1374">
        <v>1098.06</v>
      </c>
      <c r="M24" s="1374">
        <v>4342.08</v>
      </c>
      <c r="N24" s="1027">
        <v>25215</v>
      </c>
    </row>
    <row r="25" spans="1:14" ht="12.75">
      <c r="A25" s="1026" t="s">
        <v>761</v>
      </c>
      <c r="B25" s="939">
        <v>70.60197099999999</v>
      </c>
      <c r="C25" s="939">
        <v>61.030153</v>
      </c>
      <c r="D25" s="939">
        <v>66.02958599999998</v>
      </c>
      <c r="E25" s="939">
        <v>15.059512</v>
      </c>
      <c r="F25" s="939">
        <v>0</v>
      </c>
      <c r="G25" s="939">
        <v>0</v>
      </c>
      <c r="H25" s="939">
        <v>0</v>
      </c>
      <c r="I25" s="939">
        <v>0</v>
      </c>
      <c r="J25" s="939">
        <v>0</v>
      </c>
      <c r="K25" s="940">
        <v>0</v>
      </c>
      <c r="L25" s="937">
        <v>0</v>
      </c>
      <c r="M25" s="937">
        <v>0</v>
      </c>
      <c r="N25" s="1027">
        <v>212.72122199999998</v>
      </c>
    </row>
    <row r="26" spans="1:14" ht="14.25">
      <c r="A26" s="1026" t="s">
        <v>756</v>
      </c>
      <c r="B26" s="941">
        <v>2478.3376000000003</v>
      </c>
      <c r="C26" s="941">
        <v>1681.9479</v>
      </c>
      <c r="D26" s="937">
        <v>2074.377</v>
      </c>
      <c r="E26" s="937">
        <v>1950.6516000000001</v>
      </c>
      <c r="F26" s="937">
        <v>2312.2702999999997</v>
      </c>
      <c r="G26" s="937">
        <v>1905.2686999999999</v>
      </c>
      <c r="H26" s="937">
        <v>1409.0666</v>
      </c>
      <c r="I26" s="937">
        <v>1427.200929032258</v>
      </c>
      <c r="J26" s="937">
        <v>994.6758000000001</v>
      </c>
      <c r="K26" s="937">
        <v>843</v>
      </c>
      <c r="L26" s="779">
        <v>619.623</v>
      </c>
      <c r="M26" s="779">
        <v>510.767</v>
      </c>
      <c r="N26" s="1027">
        <v>18207.1864290323</v>
      </c>
    </row>
    <row r="27" spans="1:14" ht="14.25">
      <c r="A27" s="1026" t="s">
        <v>759</v>
      </c>
      <c r="B27" s="938">
        <v>2031.1173999999999</v>
      </c>
      <c r="C27" s="938">
        <v>2094.0661</v>
      </c>
      <c r="D27" s="938">
        <v>2359.7547999999997</v>
      </c>
      <c r="E27" s="938">
        <v>2065.9087999999997</v>
      </c>
      <c r="F27" s="938">
        <v>2128.7227000000003</v>
      </c>
      <c r="G27" s="938">
        <v>2920.8397999999997</v>
      </c>
      <c r="H27" s="938">
        <v>3561.6257</v>
      </c>
      <c r="I27" s="938">
        <v>3532.5022</v>
      </c>
      <c r="J27" s="938">
        <v>3603.0618999999997</v>
      </c>
      <c r="K27" s="927">
        <v>2555</v>
      </c>
      <c r="L27" s="1374">
        <v>2777.6884</v>
      </c>
      <c r="M27" s="1374">
        <v>2770.4842999999996</v>
      </c>
      <c r="N27" s="1027">
        <v>32402</v>
      </c>
    </row>
    <row r="28" spans="1:14" ht="14.25">
      <c r="A28" s="1026" t="s">
        <v>755</v>
      </c>
      <c r="B28" s="937">
        <v>228398.31949267013</v>
      </c>
      <c r="C28" s="937">
        <v>134805.94565377</v>
      </c>
      <c r="D28" s="937">
        <v>171817.6706821199</v>
      </c>
      <c r="E28" s="937">
        <v>118995.22480809025</v>
      </c>
      <c r="F28" s="937">
        <v>95173.27254456008</v>
      </c>
      <c r="G28" s="937">
        <v>92679.02300803008</v>
      </c>
      <c r="H28" s="937">
        <v>109306.32928953005</v>
      </c>
      <c r="I28" s="937">
        <v>98991.34263163758</v>
      </c>
      <c r="J28" s="937">
        <v>72891.90301835</v>
      </c>
      <c r="K28" s="937">
        <v>90157</v>
      </c>
      <c r="L28" s="806">
        <v>103810.01785787003</v>
      </c>
      <c r="M28" s="806">
        <v>140813.77911369002</v>
      </c>
      <c r="N28" s="1027">
        <v>1457839.82810032</v>
      </c>
    </row>
    <row r="29" spans="1:14" ht="12.75">
      <c r="A29" s="1026" t="s">
        <v>754</v>
      </c>
      <c r="B29" s="939">
        <v>42911.32747829999</v>
      </c>
      <c r="C29" s="939">
        <v>62366.072874260004</v>
      </c>
      <c r="D29" s="939">
        <v>75227.04438462004</v>
      </c>
      <c r="E29" s="939">
        <v>86590.02445020998</v>
      </c>
      <c r="F29" s="939">
        <v>86343.52674769003</v>
      </c>
      <c r="G29" s="939">
        <v>81077.46529795002</v>
      </c>
      <c r="H29" s="939">
        <v>54925.69662582</v>
      </c>
      <c r="I29" s="939">
        <v>48854.022797840014</v>
      </c>
      <c r="J29" s="939">
        <v>30360.5207069</v>
      </c>
      <c r="K29" s="939">
        <v>20221</v>
      </c>
      <c r="L29" s="1375">
        <v>50792.044205139995</v>
      </c>
      <c r="M29" s="1375">
        <v>39173.89169987999</v>
      </c>
      <c r="N29" s="1027">
        <v>678842.63726861</v>
      </c>
    </row>
    <row r="30" spans="1:14" ht="12.75">
      <c r="A30" s="1026" t="s">
        <v>97</v>
      </c>
      <c r="B30" s="939">
        <v>17792.251125910163</v>
      </c>
      <c r="C30" s="939">
        <v>14697.312015100002</v>
      </c>
      <c r="D30" s="939">
        <v>15237.403193799972</v>
      </c>
      <c r="E30" s="939">
        <v>24524.84803970003</v>
      </c>
      <c r="F30" s="939">
        <v>17692.81080914986</v>
      </c>
      <c r="G30" s="939">
        <v>13455.266731220006</v>
      </c>
      <c r="H30" s="939">
        <v>17257.64721992016</v>
      </c>
      <c r="I30" s="939">
        <v>16942.442565160036</v>
      </c>
      <c r="J30" s="939">
        <v>12529.258744780063</v>
      </c>
      <c r="K30" s="940">
        <v>10936</v>
      </c>
      <c r="L30" s="1082">
        <v>14973.49077648008</v>
      </c>
      <c r="M30" s="1082">
        <v>23955.349322009803</v>
      </c>
      <c r="N30" s="1027">
        <v>199994.08054323</v>
      </c>
    </row>
    <row r="31" spans="1:14" ht="13.5" thickBot="1">
      <c r="A31" s="1028" t="s">
        <v>1420</v>
      </c>
      <c r="B31" s="1416">
        <f aca="true" t="shared" si="2" ref="B31:K31">SUM(B22:B30)</f>
        <v>834858.2996678802</v>
      </c>
      <c r="C31" s="1416">
        <f t="shared" si="2"/>
        <v>733578.0728671302</v>
      </c>
      <c r="D31" s="1416">
        <f t="shared" si="2"/>
        <v>789521.80238554</v>
      </c>
      <c r="E31" s="1416">
        <f t="shared" si="2"/>
        <v>667392.5947800003</v>
      </c>
      <c r="F31" s="1416">
        <f t="shared" si="2"/>
        <v>608260.7712113999</v>
      </c>
      <c r="G31" s="1416">
        <f t="shared" si="2"/>
        <v>620041.5817272002</v>
      </c>
      <c r="H31" s="1416">
        <f t="shared" si="2"/>
        <v>664057.9953382702</v>
      </c>
      <c r="I31" s="1416">
        <f t="shared" si="2"/>
        <v>653322.20222167</v>
      </c>
      <c r="J31" s="1416">
        <f t="shared" si="2"/>
        <v>524775.1204700301</v>
      </c>
      <c r="K31" s="1416">
        <f t="shared" si="2"/>
        <v>512116</v>
      </c>
      <c r="L31" s="451">
        <v>602028.7723084901</v>
      </c>
      <c r="M31" s="451">
        <v>713695.6412145799</v>
      </c>
      <c r="N31" s="1417">
        <f>SUM(N22:N30)</f>
        <v>7923651.379548193</v>
      </c>
    </row>
    <row r="32" spans="2:13" ht="13.5" thickBot="1"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6"/>
      <c r="M32" s="886"/>
    </row>
    <row r="33" spans="2:14" ht="15.75" customHeight="1" thickBot="1">
      <c r="B33" s="887"/>
      <c r="C33" s="887"/>
      <c r="D33" s="887"/>
      <c r="E33" s="1788" t="s">
        <v>1228</v>
      </c>
      <c r="F33" s="1789"/>
      <c r="G33" s="1789"/>
      <c r="H33" s="1789"/>
      <c r="I33" s="1789"/>
      <c r="J33" s="1789"/>
      <c r="K33" s="1789"/>
      <c r="L33" s="1789"/>
      <c r="M33" s="1789"/>
      <c r="N33" s="1790"/>
    </row>
  </sheetData>
  <sheetProtection/>
  <mergeCells count="1">
    <mergeCell ref="E33:N33"/>
  </mergeCells>
  <printOptions/>
  <pageMargins left="0.25" right="0.25" top="0.75" bottom="0.75" header="0.3" footer="0.3"/>
  <pageSetup fitToHeight="1" fitToWidth="1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4"/>
  <sheetViews>
    <sheetView view="pageBreakPreview" zoomScale="85" zoomScaleNormal="95" zoomScaleSheetLayoutView="85" zoomScalePageLayoutView="0" workbookViewId="0" topLeftCell="A235">
      <selection activeCell="V26" sqref="V26"/>
    </sheetView>
  </sheetViews>
  <sheetFormatPr defaultColWidth="9.140625" defaultRowHeight="15"/>
  <cols>
    <col min="1" max="1" width="43.8515625" style="162" customWidth="1"/>
    <col min="2" max="2" width="7.7109375" style="162" bestFit="1" customWidth="1"/>
    <col min="3" max="3" width="42.140625" style="162" customWidth="1"/>
    <col min="4" max="4" width="12.28125" style="200" bestFit="1" customWidth="1"/>
    <col min="5" max="9" width="9.00390625" style="246" bestFit="1" customWidth="1"/>
    <col min="10" max="10" width="10.57421875" style="246" bestFit="1" customWidth="1"/>
    <col min="11" max="11" width="9.00390625" style="246" bestFit="1" customWidth="1"/>
    <col min="12" max="12" width="10.28125" style="246" customWidth="1"/>
    <col min="13" max="13" width="9.7109375" style="246" customWidth="1"/>
    <col min="14" max="14" width="9.00390625" style="246" bestFit="1" customWidth="1"/>
    <col min="15" max="16" width="10.421875" style="246" customWidth="1"/>
    <col min="17" max="17" width="11.7109375" style="246" bestFit="1" customWidth="1"/>
    <col min="18" max="18" width="4.28125" style="162" customWidth="1"/>
    <col min="19" max="16384" width="9.140625" style="162" customWidth="1"/>
  </cols>
  <sheetData>
    <row r="1" spans="1:17" ht="12.75">
      <c r="A1" s="1848" t="s">
        <v>1026</v>
      </c>
      <c r="B1" s="1849"/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  <c r="O1" s="1849"/>
      <c r="P1" s="1849"/>
      <c r="Q1" s="1850"/>
    </row>
    <row r="2" spans="1:17" ht="12.75">
      <c r="A2" s="163" t="s">
        <v>150</v>
      </c>
      <c r="B2" s="163" t="s">
        <v>151</v>
      </c>
      <c r="C2" s="163" t="s">
        <v>152</v>
      </c>
      <c r="D2" s="549" t="s">
        <v>92</v>
      </c>
      <c r="E2" s="601" t="s">
        <v>87</v>
      </c>
      <c r="F2" s="601" t="s">
        <v>88</v>
      </c>
      <c r="G2" s="601" t="s">
        <v>89</v>
      </c>
      <c r="H2" s="601" t="s">
        <v>90</v>
      </c>
      <c r="I2" s="601" t="s">
        <v>1003</v>
      </c>
      <c r="J2" s="601" t="s">
        <v>1018</v>
      </c>
      <c r="K2" s="601" t="s">
        <v>1178</v>
      </c>
      <c r="L2" s="601" t="s">
        <v>1179</v>
      </c>
      <c r="M2" s="930" t="s">
        <v>1306</v>
      </c>
      <c r="N2" s="930" t="s">
        <v>1312</v>
      </c>
      <c r="O2" s="930" t="s">
        <v>1333</v>
      </c>
      <c r="P2" s="930" t="s">
        <v>1334</v>
      </c>
      <c r="Q2" s="602">
        <v>2022</v>
      </c>
    </row>
    <row r="3" spans="1:17" ht="12" customHeight="1">
      <c r="A3" s="949" t="s">
        <v>69</v>
      </c>
      <c r="B3" s="165">
        <v>500</v>
      </c>
      <c r="C3" s="1856" t="s">
        <v>68</v>
      </c>
      <c r="D3" s="261" t="s">
        <v>153</v>
      </c>
      <c r="E3" s="1830">
        <v>414832.65463963</v>
      </c>
      <c r="F3" s="1830">
        <v>282804.05740618997</v>
      </c>
      <c r="G3" s="1830">
        <v>367149.3269101</v>
      </c>
      <c r="H3" s="1830">
        <v>185113</v>
      </c>
      <c r="I3" s="1827">
        <v>207016</v>
      </c>
      <c r="J3" s="1827">
        <v>238877</v>
      </c>
      <c r="K3" s="1827">
        <v>337066</v>
      </c>
      <c r="L3" s="1827">
        <v>401619</v>
      </c>
      <c r="M3" s="1827">
        <v>287269</v>
      </c>
      <c r="N3" s="1837">
        <v>262343.88651065</v>
      </c>
      <c r="O3" s="1793">
        <v>305151.88746364997</v>
      </c>
      <c r="P3" s="1793">
        <v>570489.0118563102</v>
      </c>
      <c r="Q3" s="1851">
        <f>SUM(E3:P3)</f>
        <v>3859730.82478653</v>
      </c>
    </row>
    <row r="4" spans="1:17" ht="12" customHeight="1">
      <c r="A4" s="949" t="s">
        <v>70</v>
      </c>
      <c r="B4" s="165">
        <v>600</v>
      </c>
      <c r="C4" s="1856"/>
      <c r="D4" s="261" t="s">
        <v>153</v>
      </c>
      <c r="E4" s="1830"/>
      <c r="F4" s="1830"/>
      <c r="G4" s="1830"/>
      <c r="H4" s="1830"/>
      <c r="I4" s="1828"/>
      <c r="J4" s="1828"/>
      <c r="K4" s="1828"/>
      <c r="L4" s="1828"/>
      <c r="M4" s="1828"/>
      <c r="N4" s="1838"/>
      <c r="O4" s="1794"/>
      <c r="P4" s="1794"/>
      <c r="Q4" s="1851"/>
    </row>
    <row r="5" spans="1:17" ht="12" customHeight="1">
      <c r="A5" s="949" t="s">
        <v>71</v>
      </c>
      <c r="B5" s="166">
        <v>250</v>
      </c>
      <c r="C5" s="1856"/>
      <c r="D5" s="261" t="s">
        <v>153</v>
      </c>
      <c r="E5" s="1830"/>
      <c r="F5" s="1830"/>
      <c r="G5" s="1830"/>
      <c r="H5" s="1830"/>
      <c r="I5" s="1829"/>
      <c r="J5" s="1829"/>
      <c r="K5" s="1829"/>
      <c r="L5" s="1829"/>
      <c r="M5" s="1829"/>
      <c r="N5" s="1839"/>
      <c r="O5" s="1795"/>
      <c r="P5" s="1795"/>
      <c r="Q5" s="1851"/>
    </row>
    <row r="6" spans="1:17" ht="12" customHeight="1" thickBot="1">
      <c r="A6" s="949" t="s">
        <v>577</v>
      </c>
      <c r="B6" s="165">
        <v>98</v>
      </c>
      <c r="C6" s="949" t="s">
        <v>68</v>
      </c>
      <c r="D6" s="603" t="s">
        <v>153</v>
      </c>
      <c r="E6" s="604"/>
      <c r="F6" s="604"/>
      <c r="G6" s="605"/>
      <c r="H6" s="604"/>
      <c r="I6" s="604"/>
      <c r="J6" s="604"/>
      <c r="K6" s="604"/>
      <c r="L6" s="604"/>
      <c r="M6" s="604"/>
      <c r="N6" s="604"/>
      <c r="O6" s="604"/>
      <c r="P6" s="604"/>
      <c r="Q6" s="604"/>
    </row>
    <row r="7" spans="1:17" ht="12" customHeight="1">
      <c r="A7" s="606"/>
      <c r="B7" s="607"/>
      <c r="C7" s="606"/>
      <c r="D7" s="174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9">
        <f>SUM(Q3:Q6)</f>
        <v>3859730.82478653</v>
      </c>
    </row>
    <row r="8" spans="1:17" ht="12" customHeight="1">
      <c r="A8" s="600" t="s">
        <v>154</v>
      </c>
      <c r="B8" s="610">
        <v>25.2</v>
      </c>
      <c r="C8" s="1831" t="s">
        <v>72</v>
      </c>
      <c r="D8" s="612" t="s">
        <v>93</v>
      </c>
      <c r="E8" s="1830">
        <v>48715.652325129995</v>
      </c>
      <c r="F8" s="1830">
        <v>23308.769273460002</v>
      </c>
      <c r="G8" s="1830">
        <v>33749.66101652999</v>
      </c>
      <c r="H8" s="1830">
        <v>46642</v>
      </c>
      <c r="I8" s="1830">
        <v>42055</v>
      </c>
      <c r="J8" s="1830">
        <v>18233</v>
      </c>
      <c r="K8" s="1830">
        <v>13514</v>
      </c>
      <c r="L8" s="1830">
        <v>12608</v>
      </c>
      <c r="M8" s="1830">
        <v>12100</v>
      </c>
      <c r="N8" s="1796">
        <v>13126.644034699999</v>
      </c>
      <c r="O8" s="1796">
        <v>26996.388142910004</v>
      </c>
      <c r="P8" s="1796">
        <v>53868.41470944001</v>
      </c>
      <c r="Q8" s="1851">
        <f>SUM(E8:P8)</f>
        <v>344917.52950217004</v>
      </c>
    </row>
    <row r="9" spans="1:17" ht="12" customHeight="1">
      <c r="A9" s="600" t="s">
        <v>155</v>
      </c>
      <c r="B9" s="610">
        <v>24</v>
      </c>
      <c r="C9" s="1831"/>
      <c r="D9" s="612" t="s">
        <v>93</v>
      </c>
      <c r="E9" s="1830"/>
      <c r="F9" s="1830"/>
      <c r="G9" s="1830"/>
      <c r="H9" s="1830"/>
      <c r="I9" s="1830"/>
      <c r="J9" s="1830"/>
      <c r="K9" s="1830"/>
      <c r="L9" s="1830"/>
      <c r="M9" s="1830"/>
      <c r="N9" s="1796"/>
      <c r="O9" s="1796"/>
      <c r="P9" s="1796"/>
      <c r="Q9" s="1851"/>
    </row>
    <row r="10" spans="1:17" ht="12" customHeight="1">
      <c r="A10" s="600" t="s">
        <v>156</v>
      </c>
      <c r="B10" s="610">
        <v>22.5</v>
      </c>
      <c r="C10" s="1831"/>
      <c r="D10" s="612" t="s">
        <v>93</v>
      </c>
      <c r="E10" s="1830"/>
      <c r="F10" s="1830"/>
      <c r="G10" s="1830"/>
      <c r="H10" s="1830"/>
      <c r="I10" s="1830"/>
      <c r="J10" s="1830"/>
      <c r="K10" s="1830"/>
      <c r="L10" s="1830"/>
      <c r="M10" s="1830"/>
      <c r="N10" s="1796"/>
      <c r="O10" s="1796"/>
      <c r="P10" s="1796"/>
      <c r="Q10" s="1851"/>
    </row>
    <row r="11" spans="1:17" ht="12" customHeight="1">
      <c r="A11" s="600" t="s">
        <v>157</v>
      </c>
      <c r="B11" s="610">
        <v>5</v>
      </c>
      <c r="C11" s="1831"/>
      <c r="D11" s="612" t="s">
        <v>93</v>
      </c>
      <c r="E11" s="1830"/>
      <c r="F11" s="1830"/>
      <c r="G11" s="1830"/>
      <c r="H11" s="1830"/>
      <c r="I11" s="1830"/>
      <c r="J11" s="1830"/>
      <c r="K11" s="1830"/>
      <c r="L11" s="1830"/>
      <c r="M11" s="1830"/>
      <c r="N11" s="1796"/>
      <c r="O11" s="1797"/>
      <c r="P11" s="1797"/>
      <c r="Q11" s="1851"/>
    </row>
    <row r="12" spans="1:17" ht="12.75" customHeight="1">
      <c r="A12" s="600" t="s">
        <v>160</v>
      </c>
      <c r="B12" s="610">
        <v>27.94</v>
      </c>
      <c r="C12" s="1831" t="s">
        <v>74</v>
      </c>
      <c r="D12" s="612" t="s">
        <v>153</v>
      </c>
      <c r="E12" s="611">
        <v>11761.186847000003</v>
      </c>
      <c r="F12" s="611">
        <v>10919.929836</v>
      </c>
      <c r="G12" s="611">
        <v>6352.39717</v>
      </c>
      <c r="H12" s="611">
        <v>16041</v>
      </c>
      <c r="I12" s="611">
        <v>6604</v>
      </c>
      <c r="J12" s="611">
        <v>2506</v>
      </c>
      <c r="K12" s="611">
        <v>1276</v>
      </c>
      <c r="L12" s="611">
        <v>916</v>
      </c>
      <c r="M12" s="611">
        <v>5292</v>
      </c>
      <c r="N12" s="1433">
        <v>6445.1082860000015</v>
      </c>
      <c r="O12" s="1029">
        <v>8557.458017</v>
      </c>
      <c r="P12" s="1029">
        <v>14717.947780000002</v>
      </c>
      <c r="Q12" s="1434">
        <f>SUM(E12:P12)</f>
        <v>91389.027936</v>
      </c>
    </row>
    <row r="13" spans="1:17" ht="12.75" customHeight="1">
      <c r="A13" s="600" t="s">
        <v>506</v>
      </c>
      <c r="B13" s="610">
        <v>74.6</v>
      </c>
      <c r="C13" s="1831"/>
      <c r="D13" s="612" t="s">
        <v>153</v>
      </c>
      <c r="E13" s="611">
        <v>35654.00075999999</v>
      </c>
      <c r="F13" s="611">
        <v>21084.562954</v>
      </c>
      <c r="G13" s="611">
        <v>16487.62121</v>
      </c>
      <c r="H13" s="611">
        <v>29410</v>
      </c>
      <c r="I13" s="611">
        <v>10562</v>
      </c>
      <c r="J13" s="611">
        <v>4335</v>
      </c>
      <c r="K13" s="611">
        <v>16948</v>
      </c>
      <c r="L13" s="611">
        <v>12403</v>
      </c>
      <c r="M13" s="611">
        <v>8771</v>
      </c>
      <c r="N13" s="1433">
        <v>4468.125805</v>
      </c>
      <c r="O13" s="1029">
        <v>24523.249350000002</v>
      </c>
      <c r="P13" s="1029">
        <v>45691.13921999998</v>
      </c>
      <c r="Q13" s="1434">
        <f>SUM(E13:P13)</f>
        <v>230337.69929899997</v>
      </c>
    </row>
    <row r="14" spans="1:17" ht="12" customHeight="1">
      <c r="A14" s="600" t="s">
        <v>161</v>
      </c>
      <c r="B14" s="610">
        <v>73</v>
      </c>
      <c r="C14" s="1017" t="s">
        <v>162</v>
      </c>
      <c r="D14" s="612" t="s">
        <v>93</v>
      </c>
      <c r="E14" s="611">
        <v>25378.296524999998</v>
      </c>
      <c r="F14" s="611">
        <v>18054.480896000005</v>
      </c>
      <c r="G14" s="611">
        <v>19224.526445</v>
      </c>
      <c r="H14" s="611">
        <v>19924</v>
      </c>
      <c r="I14" s="611">
        <v>19929</v>
      </c>
      <c r="J14" s="611">
        <v>6301</v>
      </c>
      <c r="K14" s="611">
        <v>10545</v>
      </c>
      <c r="L14" s="611">
        <v>9563</v>
      </c>
      <c r="M14" s="611">
        <v>8153</v>
      </c>
      <c r="N14" s="1433">
        <v>4158.581215999998</v>
      </c>
      <c r="O14" s="1029">
        <v>6681.633232000001</v>
      </c>
      <c r="P14" s="1029">
        <v>20018.770878999996</v>
      </c>
      <c r="Q14" s="1434">
        <f>SUM(E14:P14)</f>
        <v>167931.28919299998</v>
      </c>
    </row>
    <row r="15" spans="1:17" ht="12" customHeight="1">
      <c r="A15" s="600" t="s">
        <v>722</v>
      </c>
      <c r="B15" s="610">
        <v>184</v>
      </c>
      <c r="C15" s="1017" t="s">
        <v>162</v>
      </c>
      <c r="D15" s="612" t="s">
        <v>711</v>
      </c>
      <c r="E15" s="611">
        <v>60843.963296999995</v>
      </c>
      <c r="F15" s="611">
        <v>43509.236125999996</v>
      </c>
      <c r="G15" s="611">
        <v>38468.943278</v>
      </c>
      <c r="H15" s="611">
        <v>37505</v>
      </c>
      <c r="I15" s="611">
        <v>38945</v>
      </c>
      <c r="J15" s="611">
        <v>7862</v>
      </c>
      <c r="K15" s="611">
        <v>12768</v>
      </c>
      <c r="L15" s="611">
        <v>26813</v>
      </c>
      <c r="M15" s="611">
        <v>7883</v>
      </c>
      <c r="N15" s="1433">
        <v>4545.2039030000005</v>
      </c>
      <c r="O15" s="1029">
        <v>15879.606408</v>
      </c>
      <c r="P15" s="1029">
        <v>27467.017809000004</v>
      </c>
      <c r="Q15" s="1434">
        <f>SUM(E15:P15)</f>
        <v>322489.97082099994</v>
      </c>
    </row>
    <row r="16" spans="1:17" ht="12" customHeight="1" thickBot="1">
      <c r="A16" s="1310" t="s">
        <v>1027</v>
      </c>
      <c r="B16" s="1311">
        <v>1.73</v>
      </c>
      <c r="C16" s="1310" t="s">
        <v>1028</v>
      </c>
      <c r="D16" s="1312"/>
      <c r="E16" s="1313">
        <v>0</v>
      </c>
      <c r="F16" s="1313">
        <v>0</v>
      </c>
      <c r="G16" s="1313">
        <v>33.824696</v>
      </c>
      <c r="H16" s="1313">
        <v>750.211193</v>
      </c>
      <c r="I16" s="1313">
        <v>72</v>
      </c>
      <c r="J16" s="1313">
        <v>0</v>
      </c>
      <c r="K16" s="1313">
        <v>0</v>
      </c>
      <c r="L16" s="1313">
        <v>0</v>
      </c>
      <c r="M16" s="1313">
        <v>97.81024900000001</v>
      </c>
      <c r="N16" s="1313">
        <v>90</v>
      </c>
      <c r="O16" s="1313">
        <v>363</v>
      </c>
      <c r="P16" s="1313">
        <v>622</v>
      </c>
      <c r="Q16" s="1314">
        <f>SUM(E16:P16)</f>
        <v>2028.8461379999999</v>
      </c>
    </row>
    <row r="17" spans="1:17" ht="12" customHeight="1" thickBot="1">
      <c r="A17" s="606"/>
      <c r="B17" s="607"/>
      <c r="C17" s="606"/>
      <c r="D17" s="174"/>
      <c r="E17" s="613"/>
      <c r="F17" s="613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1030">
        <f>SUM(Q8:Q16)</f>
        <v>1159094.36288917</v>
      </c>
    </row>
    <row r="18" spans="1:17" ht="12" customHeight="1">
      <c r="A18" s="614" t="s">
        <v>158</v>
      </c>
      <c r="B18" s="615">
        <v>48.2</v>
      </c>
      <c r="C18" s="616" t="s">
        <v>159</v>
      </c>
      <c r="D18" s="617" t="s">
        <v>93</v>
      </c>
      <c r="E18" s="618">
        <v>24126.462665000006</v>
      </c>
      <c r="F18" s="619">
        <v>18088.895830000005</v>
      </c>
      <c r="G18" s="620">
        <v>21779.974445000007</v>
      </c>
      <c r="H18" s="611">
        <v>18191</v>
      </c>
      <c r="I18" s="145">
        <v>13841.497300999998</v>
      </c>
      <c r="J18" s="145">
        <v>12119.877733999998</v>
      </c>
      <c r="K18" s="748">
        <v>15559</v>
      </c>
      <c r="L18" s="748">
        <v>19283</v>
      </c>
      <c r="M18" s="748">
        <v>20679</v>
      </c>
      <c r="N18" s="968">
        <v>16317.240557999998</v>
      </c>
      <c r="O18" s="968">
        <v>21420.625149999993</v>
      </c>
      <c r="P18" s="968">
        <v>34868.694967999996</v>
      </c>
      <c r="Q18" s="623">
        <f>SUM(E18:P18)</f>
        <v>236275.268651</v>
      </c>
    </row>
    <row r="19" spans="1:17" ht="12" customHeight="1" thickBot="1">
      <c r="A19" s="606"/>
      <c r="B19" s="607"/>
      <c r="C19" s="606"/>
      <c r="D19" s="174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21">
        <f>SUM(Q18)</f>
        <v>236275.268651</v>
      </c>
    </row>
    <row r="20" spans="1:17" ht="12" customHeight="1">
      <c r="A20" s="950" t="s">
        <v>163</v>
      </c>
      <c r="B20" s="167">
        <v>2.5</v>
      </c>
      <c r="C20" s="1366" t="s">
        <v>164</v>
      </c>
      <c r="D20" s="622" t="s">
        <v>93</v>
      </c>
      <c r="E20" s="745">
        <v>783.9933389999999</v>
      </c>
      <c r="F20" s="745">
        <v>924.111659</v>
      </c>
      <c r="G20" s="745">
        <v>785.8198960000001</v>
      </c>
      <c r="H20" s="745">
        <v>2203.67454</v>
      </c>
      <c r="I20" s="745">
        <v>1320.3716299999999</v>
      </c>
      <c r="J20" s="745">
        <v>411.88232</v>
      </c>
      <c r="K20" s="745">
        <v>245.173928</v>
      </c>
      <c r="L20" s="745">
        <v>234.262171</v>
      </c>
      <c r="M20" s="1376">
        <v>176.37463200000002</v>
      </c>
      <c r="N20" s="1376">
        <v>279</v>
      </c>
      <c r="O20" s="514">
        <v>662.396385</v>
      </c>
      <c r="P20" s="514">
        <v>1280.259996</v>
      </c>
      <c r="Q20" s="623">
        <f>SUM(E20:P20)</f>
        <v>9307.320496</v>
      </c>
    </row>
    <row r="21" spans="1:17" ht="12" customHeight="1">
      <c r="A21" s="1418" t="s">
        <v>165</v>
      </c>
      <c r="B21" s="167">
        <v>5.8</v>
      </c>
      <c r="C21" s="1366" t="s">
        <v>166</v>
      </c>
      <c r="D21" s="550" t="s">
        <v>93</v>
      </c>
      <c r="E21" s="1807">
        <v>1596.9616890000004</v>
      </c>
      <c r="F21" s="1807">
        <v>1292.20256</v>
      </c>
      <c r="G21" s="1807">
        <v>847.780655</v>
      </c>
      <c r="H21" s="1807">
        <v>3978.691603</v>
      </c>
      <c r="I21" s="1807">
        <v>1972.2385020000004</v>
      </c>
      <c r="J21" s="1807">
        <v>229.74733500000008</v>
      </c>
      <c r="K21" s="1807">
        <v>-10.997900000000005</v>
      </c>
      <c r="L21" s="1807">
        <v>-10.927869000000006</v>
      </c>
      <c r="M21" s="1804">
        <v>232.04891900000004</v>
      </c>
      <c r="N21" s="1804">
        <v>736</v>
      </c>
      <c r="O21" s="1799">
        <v>2069.886264</v>
      </c>
      <c r="P21" s="1799">
        <v>3457.4113389999984</v>
      </c>
      <c r="Q21" s="1807">
        <f>SUM(E21:P21)</f>
        <v>16391.043097</v>
      </c>
    </row>
    <row r="22" spans="1:17" ht="12" customHeight="1">
      <c r="A22" s="1418" t="s">
        <v>167</v>
      </c>
      <c r="B22" s="167">
        <v>2.5</v>
      </c>
      <c r="C22" s="1366" t="s">
        <v>168</v>
      </c>
      <c r="D22" s="550" t="s">
        <v>93</v>
      </c>
      <c r="E22" s="1809"/>
      <c r="F22" s="1809"/>
      <c r="G22" s="1809"/>
      <c r="H22" s="1809"/>
      <c r="I22" s="1809"/>
      <c r="J22" s="1809"/>
      <c r="K22" s="1809"/>
      <c r="L22" s="1809"/>
      <c r="M22" s="1806"/>
      <c r="N22" s="1806"/>
      <c r="O22" s="1800"/>
      <c r="P22" s="1800"/>
      <c r="Q22" s="1809"/>
    </row>
    <row r="23" spans="1:17" ht="12" customHeight="1">
      <c r="A23" s="950" t="s">
        <v>475</v>
      </c>
      <c r="B23" s="167">
        <v>0.921</v>
      </c>
      <c r="C23" s="168" t="s">
        <v>474</v>
      </c>
      <c r="D23" s="550" t="s">
        <v>93</v>
      </c>
      <c r="E23" s="745">
        <v>600.673397</v>
      </c>
      <c r="F23" s="745">
        <v>531.0769950000001</v>
      </c>
      <c r="G23" s="745">
        <v>550.5881479999999</v>
      </c>
      <c r="H23" s="745">
        <v>1009.504421</v>
      </c>
      <c r="I23" s="745">
        <v>1035.952804</v>
      </c>
      <c r="J23" s="745">
        <v>604.646758</v>
      </c>
      <c r="K23" s="745">
        <v>549.6151929999999</v>
      </c>
      <c r="L23" s="745">
        <v>507.89569099999994</v>
      </c>
      <c r="M23" s="1376">
        <v>408.96459</v>
      </c>
      <c r="N23" s="1376">
        <v>520</v>
      </c>
      <c r="O23" s="514">
        <v>602.2506119999999</v>
      </c>
      <c r="P23" s="514">
        <v>1099.191379</v>
      </c>
      <c r="Q23" s="745">
        <f>SUM(E23:P23)</f>
        <v>8020.359987999999</v>
      </c>
    </row>
    <row r="24" spans="1:17" ht="12" customHeight="1">
      <c r="A24" s="950" t="s">
        <v>476</v>
      </c>
      <c r="B24" s="167">
        <v>29.61</v>
      </c>
      <c r="C24" s="168" t="s">
        <v>169</v>
      </c>
      <c r="D24" s="550" t="s">
        <v>93</v>
      </c>
      <c r="E24" s="1377">
        <v>13819.002846</v>
      </c>
      <c r="F24" s="1377">
        <v>8667.201936000001</v>
      </c>
      <c r="G24" s="1377">
        <v>9508.939064999997</v>
      </c>
      <c r="H24" s="1377">
        <v>16552.313941</v>
      </c>
      <c r="I24" s="1377">
        <v>11315.456625</v>
      </c>
      <c r="J24" s="1377">
        <v>5140.843009000001</v>
      </c>
      <c r="K24" s="1377">
        <v>3295.8198679999996</v>
      </c>
      <c r="L24" s="1377">
        <v>3191.880287</v>
      </c>
      <c r="M24" s="1376">
        <v>3420.0349919999994</v>
      </c>
      <c r="N24" s="1378">
        <v>5756</v>
      </c>
      <c r="O24" s="335">
        <v>6436.906160999998</v>
      </c>
      <c r="P24" s="335">
        <v>13662.868392</v>
      </c>
      <c r="Q24" s="1377">
        <f>SUM(E24:P24)</f>
        <v>100767.26712199999</v>
      </c>
    </row>
    <row r="25" spans="1:17" ht="12" customHeight="1">
      <c r="A25" s="950" t="s">
        <v>170</v>
      </c>
      <c r="B25" s="167">
        <v>13.8</v>
      </c>
      <c r="C25" s="1366" t="s">
        <v>171</v>
      </c>
      <c r="D25" s="550" t="s">
        <v>93</v>
      </c>
      <c r="E25" s="1379">
        <v>5282.93314</v>
      </c>
      <c r="F25" s="1379">
        <v>5365.124741</v>
      </c>
      <c r="G25" s="1379">
        <v>5445.971136</v>
      </c>
      <c r="H25" s="1379">
        <v>13423.12263</v>
      </c>
      <c r="I25" s="1379">
        <v>11203.023818000001</v>
      </c>
      <c r="J25" s="1379">
        <v>3352.1285230000003</v>
      </c>
      <c r="K25" s="1379">
        <v>1443.9413519999996</v>
      </c>
      <c r="L25" s="1379">
        <v>1130.0487249999999</v>
      </c>
      <c r="M25" s="1379">
        <v>801</v>
      </c>
      <c r="N25" s="1379">
        <v>1799</v>
      </c>
      <c r="O25" s="1379">
        <v>4845</v>
      </c>
      <c r="P25" s="1379">
        <v>9448</v>
      </c>
      <c r="Q25" s="1379">
        <f>SUM(E25:P25)</f>
        <v>63539.294065</v>
      </c>
    </row>
    <row r="26" spans="1:17" ht="12" customHeight="1">
      <c r="A26" s="950" t="s">
        <v>172</v>
      </c>
      <c r="B26" s="169">
        <v>5</v>
      </c>
      <c r="C26" s="1824" t="s">
        <v>173</v>
      </c>
      <c r="D26" s="1832" t="s">
        <v>93</v>
      </c>
      <c r="E26" s="1811">
        <v>10267.189555</v>
      </c>
      <c r="F26" s="1811">
        <v>10501.131709000001</v>
      </c>
      <c r="G26" s="1811">
        <v>9117.584384999998</v>
      </c>
      <c r="H26" s="1811">
        <v>18436.507194000005</v>
      </c>
      <c r="I26" s="1811">
        <v>19116.467756000005</v>
      </c>
      <c r="J26" s="1811">
        <v>10372.722957999998</v>
      </c>
      <c r="K26" s="1811">
        <v>5390.306876999999</v>
      </c>
      <c r="L26" s="1811">
        <v>1835.7729869999996</v>
      </c>
      <c r="M26" s="1811">
        <v>3450</v>
      </c>
      <c r="N26" s="1811">
        <v>4158</v>
      </c>
      <c r="O26" s="1802">
        <v>8010.524396000001</v>
      </c>
      <c r="P26" s="1802">
        <v>16115.247967</v>
      </c>
      <c r="Q26" s="1852">
        <f>SUM(E26:P26)</f>
        <v>116771.45578400002</v>
      </c>
    </row>
    <row r="27" spans="1:17" ht="12" customHeight="1">
      <c r="A27" s="950" t="s">
        <v>174</v>
      </c>
      <c r="B27" s="169">
        <v>5.8</v>
      </c>
      <c r="C27" s="1824"/>
      <c r="D27" s="1832"/>
      <c r="E27" s="1811"/>
      <c r="F27" s="1811"/>
      <c r="G27" s="1811"/>
      <c r="H27" s="1811"/>
      <c r="I27" s="1811"/>
      <c r="J27" s="1811"/>
      <c r="K27" s="1811"/>
      <c r="L27" s="1811"/>
      <c r="M27" s="1811"/>
      <c r="N27" s="1811"/>
      <c r="O27" s="1802"/>
      <c r="P27" s="1802"/>
      <c r="Q27" s="1852"/>
    </row>
    <row r="28" spans="1:17" ht="12" customHeight="1">
      <c r="A28" s="950" t="s">
        <v>175</v>
      </c>
      <c r="B28" s="169">
        <v>11</v>
      </c>
      <c r="C28" s="1824" t="s">
        <v>176</v>
      </c>
      <c r="D28" s="1832"/>
      <c r="E28" s="1811"/>
      <c r="F28" s="1811"/>
      <c r="G28" s="1811"/>
      <c r="H28" s="1811"/>
      <c r="I28" s="1811"/>
      <c r="J28" s="1811"/>
      <c r="K28" s="1811"/>
      <c r="L28" s="1811"/>
      <c r="M28" s="1811"/>
      <c r="N28" s="1811"/>
      <c r="O28" s="1802"/>
      <c r="P28" s="1802"/>
      <c r="Q28" s="1852"/>
    </row>
    <row r="29" spans="1:17" ht="12" customHeight="1">
      <c r="A29" s="950" t="s">
        <v>177</v>
      </c>
      <c r="B29" s="169">
        <v>2.9</v>
      </c>
      <c r="C29" s="1824"/>
      <c r="D29" s="1832"/>
      <c r="E29" s="1811"/>
      <c r="F29" s="1811"/>
      <c r="G29" s="1811"/>
      <c r="H29" s="1811"/>
      <c r="I29" s="1811"/>
      <c r="J29" s="1811"/>
      <c r="K29" s="1811"/>
      <c r="L29" s="1811"/>
      <c r="M29" s="1811"/>
      <c r="N29" s="1811"/>
      <c r="O29" s="1802"/>
      <c r="P29" s="1802"/>
      <c r="Q29" s="1852"/>
    </row>
    <row r="30" spans="1:17" ht="12" customHeight="1">
      <c r="A30" s="950" t="s">
        <v>178</v>
      </c>
      <c r="B30" s="169">
        <v>4.8</v>
      </c>
      <c r="C30" s="1366" t="s">
        <v>179</v>
      </c>
      <c r="D30" s="1832"/>
      <c r="E30" s="1811"/>
      <c r="F30" s="1811"/>
      <c r="G30" s="1811"/>
      <c r="H30" s="1811"/>
      <c r="I30" s="1811"/>
      <c r="J30" s="1811"/>
      <c r="K30" s="1811"/>
      <c r="L30" s="1811"/>
      <c r="M30" s="1811"/>
      <c r="N30" s="1811"/>
      <c r="O30" s="1802"/>
      <c r="P30" s="1802"/>
      <c r="Q30" s="1852"/>
    </row>
    <row r="31" spans="1:17" ht="12" customHeight="1">
      <c r="A31" s="950" t="s">
        <v>181</v>
      </c>
      <c r="B31" s="167">
        <v>2.3</v>
      </c>
      <c r="C31" s="1857" t="s">
        <v>180</v>
      </c>
      <c r="D31" s="1836" t="s">
        <v>93</v>
      </c>
      <c r="E31" s="1807">
        <v>864.7997010000001</v>
      </c>
      <c r="F31" s="1807">
        <v>624.2633659999999</v>
      </c>
      <c r="G31" s="1807">
        <v>590.792068</v>
      </c>
      <c r="H31" s="1807">
        <v>4252.761254</v>
      </c>
      <c r="I31" s="1807">
        <v>3210.2399219999998</v>
      </c>
      <c r="J31" s="1807">
        <v>926.0463770000003</v>
      </c>
      <c r="K31" s="1807">
        <v>50.69158499999998</v>
      </c>
      <c r="L31" s="1807">
        <v>-10.601010999999998</v>
      </c>
      <c r="M31" s="1804">
        <v>373.86150999999995</v>
      </c>
      <c r="N31" s="1804">
        <v>1170</v>
      </c>
      <c r="O31" s="1799">
        <v>1368.2605779999997</v>
      </c>
      <c r="P31" s="1799">
        <v>2423.532994</v>
      </c>
      <c r="Q31" s="1853">
        <f>SUM(E31:P31)</f>
        <v>15844.648344000001</v>
      </c>
    </row>
    <row r="32" spans="1:17" ht="12" customHeight="1">
      <c r="A32" s="950" t="s">
        <v>182</v>
      </c>
      <c r="B32" s="167">
        <v>2.8</v>
      </c>
      <c r="C32" s="1857"/>
      <c r="D32" s="1836"/>
      <c r="E32" s="1808"/>
      <c r="F32" s="1808"/>
      <c r="G32" s="1808"/>
      <c r="H32" s="1808"/>
      <c r="I32" s="1808"/>
      <c r="J32" s="1808"/>
      <c r="K32" s="1808"/>
      <c r="L32" s="1808"/>
      <c r="M32" s="1805"/>
      <c r="N32" s="1805"/>
      <c r="O32" s="1801"/>
      <c r="P32" s="1801"/>
      <c r="Q32" s="1854"/>
    </row>
    <row r="33" spans="1:17" ht="12" customHeight="1">
      <c r="A33" s="950" t="s">
        <v>183</v>
      </c>
      <c r="B33" s="167">
        <v>3.6</v>
      </c>
      <c r="C33" s="1813"/>
      <c r="D33" s="1836"/>
      <c r="E33" s="1809"/>
      <c r="F33" s="1809"/>
      <c r="G33" s="1809"/>
      <c r="H33" s="1809"/>
      <c r="I33" s="1809"/>
      <c r="J33" s="1809"/>
      <c r="K33" s="1809"/>
      <c r="L33" s="1809"/>
      <c r="M33" s="1806"/>
      <c r="N33" s="1806"/>
      <c r="O33" s="1800"/>
      <c r="P33" s="1800"/>
      <c r="Q33" s="1855"/>
    </row>
    <row r="34" spans="1:17" ht="12" customHeight="1">
      <c r="A34" s="950" t="s">
        <v>402</v>
      </c>
      <c r="B34" s="167">
        <v>8.1</v>
      </c>
      <c r="C34" s="1366" t="s">
        <v>185</v>
      </c>
      <c r="D34" s="550" t="s">
        <v>93</v>
      </c>
      <c r="E34" s="745">
        <v>2988.3237819999995</v>
      </c>
      <c r="F34" s="745">
        <v>2580.513832</v>
      </c>
      <c r="G34" s="745">
        <v>2078.964928</v>
      </c>
      <c r="H34" s="745">
        <v>5126.553079000001</v>
      </c>
      <c r="I34" s="745">
        <v>5394.18951</v>
      </c>
      <c r="J34" s="745">
        <v>2276.131788</v>
      </c>
      <c r="K34" s="745">
        <v>398.026728</v>
      </c>
      <c r="L34" s="745">
        <v>-10.016098</v>
      </c>
      <c r="M34" s="1376">
        <v>454.900853</v>
      </c>
      <c r="N34" s="1376">
        <v>1479</v>
      </c>
      <c r="O34" s="514">
        <v>2335.0457590000005</v>
      </c>
      <c r="P34" s="514">
        <v>4232.356331000001</v>
      </c>
      <c r="Q34" s="745">
        <f>SUM(E34:P34)</f>
        <v>29333.990491999997</v>
      </c>
    </row>
    <row r="35" spans="1:17" ht="12" customHeight="1">
      <c r="A35" s="950" t="s">
        <v>403</v>
      </c>
      <c r="B35" s="167">
        <v>8.85</v>
      </c>
      <c r="C35" s="1366" t="s">
        <v>184</v>
      </c>
      <c r="D35" s="550" t="s">
        <v>93</v>
      </c>
      <c r="E35" s="745">
        <v>2988.713574</v>
      </c>
      <c r="F35" s="745">
        <v>2579.4972849999995</v>
      </c>
      <c r="G35" s="745">
        <v>2203.4525790000002</v>
      </c>
      <c r="H35" s="745">
        <v>3419.4064200000007</v>
      </c>
      <c r="I35" s="745">
        <v>2992.874993000001</v>
      </c>
      <c r="J35" s="745">
        <v>1388.6511709999995</v>
      </c>
      <c r="K35" s="745">
        <v>498.372402</v>
      </c>
      <c r="L35" s="745">
        <v>320.3850969999999</v>
      </c>
      <c r="M35" s="1376">
        <v>672.798019</v>
      </c>
      <c r="N35" s="1376">
        <v>1150</v>
      </c>
      <c r="O35" s="514">
        <v>2292.9960509999996</v>
      </c>
      <c r="P35" s="514">
        <v>4063.7842389999996</v>
      </c>
      <c r="Q35" s="745">
        <f>SUM(E35:P35)</f>
        <v>24570.93183</v>
      </c>
    </row>
    <row r="36" spans="1:17" ht="12" customHeight="1">
      <c r="A36" s="950" t="s">
        <v>186</v>
      </c>
      <c r="B36" s="167">
        <v>13.62</v>
      </c>
      <c r="C36" s="1366" t="s">
        <v>187</v>
      </c>
      <c r="D36" s="550" t="s">
        <v>93</v>
      </c>
      <c r="E36" s="745">
        <v>2266.6140520000004</v>
      </c>
      <c r="F36" s="745">
        <v>1628.2710759999995</v>
      </c>
      <c r="G36" s="745">
        <v>1790.1063500000002</v>
      </c>
      <c r="H36" s="745">
        <v>9197.286473</v>
      </c>
      <c r="I36" s="745">
        <v>8789.322279000002</v>
      </c>
      <c r="J36" s="745">
        <v>3268.771085</v>
      </c>
      <c r="K36" s="745">
        <v>893.1735260000003</v>
      </c>
      <c r="L36" s="745">
        <v>498.675017</v>
      </c>
      <c r="M36" s="1376">
        <v>879.7713229999998</v>
      </c>
      <c r="N36" s="1376">
        <v>973</v>
      </c>
      <c r="O36" s="514">
        <v>2399.497685</v>
      </c>
      <c r="P36" s="514">
        <v>6556.168048999998</v>
      </c>
      <c r="Q36" s="745">
        <f>SUM(E36:P36)</f>
        <v>39140.656915</v>
      </c>
    </row>
    <row r="37" spans="1:17" ht="12" customHeight="1">
      <c r="A37" s="950" t="s">
        <v>188</v>
      </c>
      <c r="B37" s="167">
        <v>8.94</v>
      </c>
      <c r="C37" s="1366" t="s">
        <v>189</v>
      </c>
      <c r="D37" s="550" t="s">
        <v>93</v>
      </c>
      <c r="E37" s="745">
        <v>3298.236578</v>
      </c>
      <c r="F37" s="745">
        <v>3152.1456569999996</v>
      </c>
      <c r="G37" s="745">
        <v>3913.7216809999995</v>
      </c>
      <c r="H37" s="745">
        <v>4843.630238000001</v>
      </c>
      <c r="I37" s="745">
        <v>2154.301071</v>
      </c>
      <c r="J37" s="745">
        <v>875.0745430000001</v>
      </c>
      <c r="K37" s="745">
        <v>123.374598</v>
      </c>
      <c r="L37" s="745">
        <v>49.706533</v>
      </c>
      <c r="M37" s="1376">
        <v>163.51646199999996</v>
      </c>
      <c r="N37" s="1376">
        <v>276</v>
      </c>
      <c r="O37" s="514">
        <v>1385.87445</v>
      </c>
      <c r="P37" s="514">
        <v>2158.092124</v>
      </c>
      <c r="Q37" s="745">
        <f>SUM(E37:P37)</f>
        <v>22393.673934999995</v>
      </c>
    </row>
    <row r="38" spans="1:17" ht="12" customHeight="1">
      <c r="A38" s="950" t="s">
        <v>190</v>
      </c>
      <c r="B38" s="169">
        <v>6.54</v>
      </c>
      <c r="C38" s="1824" t="s">
        <v>191</v>
      </c>
      <c r="D38" s="550" t="s">
        <v>93</v>
      </c>
      <c r="E38" s="1807">
        <v>3469.629462</v>
      </c>
      <c r="F38" s="1807">
        <v>3495.3951010000005</v>
      </c>
      <c r="G38" s="1807">
        <v>2287.517363000001</v>
      </c>
      <c r="H38" s="1807">
        <v>9005.430955999998</v>
      </c>
      <c r="I38" s="1807">
        <v>3643.955747</v>
      </c>
      <c r="J38" s="1807">
        <v>543.416247</v>
      </c>
      <c r="K38" s="1807">
        <v>119.832841</v>
      </c>
      <c r="L38" s="1807">
        <v>95.120734</v>
      </c>
      <c r="M38" s="1804">
        <v>1961.4490909999995</v>
      </c>
      <c r="N38" s="1804">
        <v>1999</v>
      </c>
      <c r="O38" s="1799">
        <v>3510.1359490000004</v>
      </c>
      <c r="P38" s="1799">
        <v>6836.406928</v>
      </c>
      <c r="Q38" s="1807">
        <f>SUM(E38:P38)</f>
        <v>36967.290419</v>
      </c>
    </row>
    <row r="39" spans="1:17" ht="12" customHeight="1">
      <c r="A39" s="950" t="s">
        <v>192</v>
      </c>
      <c r="B39" s="169">
        <v>4.02</v>
      </c>
      <c r="C39" s="1824"/>
      <c r="D39" s="550" t="s">
        <v>93</v>
      </c>
      <c r="E39" s="1808"/>
      <c r="F39" s="1808"/>
      <c r="G39" s="1808"/>
      <c r="H39" s="1808"/>
      <c r="I39" s="1808"/>
      <c r="J39" s="1808"/>
      <c r="K39" s="1808"/>
      <c r="L39" s="1808"/>
      <c r="M39" s="1805"/>
      <c r="N39" s="1805"/>
      <c r="O39" s="1801"/>
      <c r="P39" s="1801"/>
      <c r="Q39" s="1808"/>
    </row>
    <row r="40" spans="1:17" ht="12" customHeight="1">
      <c r="A40" s="950" t="s">
        <v>193</v>
      </c>
      <c r="B40" s="169">
        <v>5.66</v>
      </c>
      <c r="C40" s="1824"/>
      <c r="D40" s="550" t="s">
        <v>93</v>
      </c>
      <c r="E40" s="1809"/>
      <c r="F40" s="1809"/>
      <c r="G40" s="1809"/>
      <c r="H40" s="1809"/>
      <c r="I40" s="1809"/>
      <c r="J40" s="1809"/>
      <c r="K40" s="1809"/>
      <c r="L40" s="1809"/>
      <c r="M40" s="1806"/>
      <c r="N40" s="1806"/>
      <c r="O40" s="1800"/>
      <c r="P40" s="1800"/>
      <c r="Q40" s="1809"/>
    </row>
    <row r="41" spans="1:17" ht="12" customHeight="1">
      <c r="A41" s="950" t="s">
        <v>194</v>
      </c>
      <c r="B41" s="167">
        <v>5.455</v>
      </c>
      <c r="C41" s="1366" t="s">
        <v>195</v>
      </c>
      <c r="D41" s="550" t="s">
        <v>93</v>
      </c>
      <c r="E41" s="745">
        <v>1262.2020699999998</v>
      </c>
      <c r="F41" s="745">
        <v>1319.682812</v>
      </c>
      <c r="G41" s="745">
        <v>911.422675</v>
      </c>
      <c r="H41" s="745">
        <v>2856.6369340000006</v>
      </c>
      <c r="I41" s="745">
        <v>1132.2461580000002</v>
      </c>
      <c r="J41" s="745">
        <v>334.931066</v>
      </c>
      <c r="K41" s="745">
        <v>93.498539</v>
      </c>
      <c r="L41" s="745">
        <v>-13.972243000000002</v>
      </c>
      <c r="M41" s="1376">
        <v>439.33343099999996</v>
      </c>
      <c r="N41" s="1376">
        <v>517</v>
      </c>
      <c r="O41" s="514">
        <v>959.221185</v>
      </c>
      <c r="P41" s="514">
        <v>2153.429086</v>
      </c>
      <c r="Q41" s="745">
        <f>SUM(E41:P41)</f>
        <v>11965.631713</v>
      </c>
    </row>
    <row r="42" spans="1:17" ht="12" customHeight="1">
      <c r="A42" s="948" t="s">
        <v>196</v>
      </c>
      <c r="B42" s="170">
        <v>14.97</v>
      </c>
      <c r="C42" s="1365" t="s">
        <v>197</v>
      </c>
      <c r="D42" s="550" t="s">
        <v>93</v>
      </c>
      <c r="E42" s="745">
        <v>3362.9862829999993</v>
      </c>
      <c r="F42" s="745">
        <v>3619.1485190000003</v>
      </c>
      <c r="G42" s="745">
        <v>2122.0998380000005</v>
      </c>
      <c r="H42" s="745">
        <v>8019.394005999999</v>
      </c>
      <c r="I42" s="745">
        <v>3870.70707</v>
      </c>
      <c r="J42" s="745">
        <v>348.69122</v>
      </c>
      <c r="K42" s="745">
        <v>-1.9098739999999992</v>
      </c>
      <c r="L42" s="745">
        <v>15.491274</v>
      </c>
      <c r="M42" s="1376">
        <v>2136.9497029999998</v>
      </c>
      <c r="N42" s="1376">
        <v>2133</v>
      </c>
      <c r="O42" s="514">
        <v>3301.324473</v>
      </c>
      <c r="P42" s="514">
        <v>6167.092928000002</v>
      </c>
      <c r="Q42" s="745">
        <f>SUM(E42:P42)</f>
        <v>35094.975439999995</v>
      </c>
    </row>
    <row r="43" spans="1:17" ht="12" customHeight="1">
      <c r="A43" s="171" t="s">
        <v>553</v>
      </c>
      <c r="B43" s="252">
        <v>0.88</v>
      </c>
      <c r="C43" s="1833" t="s">
        <v>554</v>
      </c>
      <c r="D43" s="550" t="s">
        <v>93</v>
      </c>
      <c r="E43" s="1807">
        <v>1238.455573</v>
      </c>
      <c r="F43" s="1807">
        <v>1178.3031059999998</v>
      </c>
      <c r="G43" s="1807">
        <v>1275.3655410000001</v>
      </c>
      <c r="H43" s="1807">
        <v>3200.7544869999992</v>
      </c>
      <c r="I43" s="1807">
        <v>1932.7080579999997</v>
      </c>
      <c r="J43" s="1807">
        <v>460.3307020000001</v>
      </c>
      <c r="K43" s="1807">
        <v>43.205287</v>
      </c>
      <c r="L43" s="1807">
        <v>-12.215684000000003</v>
      </c>
      <c r="M43" s="1804">
        <v>-0.12207200000000011</v>
      </c>
      <c r="N43" s="1804">
        <v>318</v>
      </c>
      <c r="O43" s="1799">
        <v>1019.650551</v>
      </c>
      <c r="P43" s="1799">
        <v>2178.2787310000003</v>
      </c>
      <c r="Q43" s="1807">
        <f>SUM(E43:P43)</f>
        <v>12832.714279999998</v>
      </c>
    </row>
    <row r="44" spans="1:17" ht="12" customHeight="1">
      <c r="A44" s="171" t="s">
        <v>555</v>
      </c>
      <c r="B44" s="252">
        <v>1.08</v>
      </c>
      <c r="C44" s="1834"/>
      <c r="D44" s="550" t="s">
        <v>93</v>
      </c>
      <c r="E44" s="1808"/>
      <c r="F44" s="1808"/>
      <c r="G44" s="1808"/>
      <c r="H44" s="1808"/>
      <c r="I44" s="1808"/>
      <c r="J44" s="1808"/>
      <c r="K44" s="1808"/>
      <c r="L44" s="1808"/>
      <c r="M44" s="1805"/>
      <c r="N44" s="1805"/>
      <c r="O44" s="1801"/>
      <c r="P44" s="1801"/>
      <c r="Q44" s="1808"/>
    </row>
    <row r="45" spans="1:17" ht="12" customHeight="1">
      <c r="A45" s="171" t="s">
        <v>556</v>
      </c>
      <c r="B45" s="252">
        <v>2.1</v>
      </c>
      <c r="C45" s="1835"/>
      <c r="D45" s="550" t="s">
        <v>93</v>
      </c>
      <c r="E45" s="1809"/>
      <c r="F45" s="1809"/>
      <c r="G45" s="1809"/>
      <c r="H45" s="1809"/>
      <c r="I45" s="1809"/>
      <c r="J45" s="1809"/>
      <c r="K45" s="1809"/>
      <c r="L45" s="1809"/>
      <c r="M45" s="1806"/>
      <c r="N45" s="1806"/>
      <c r="O45" s="1800"/>
      <c r="P45" s="1800"/>
      <c r="Q45" s="1809"/>
    </row>
    <row r="46" spans="1:17" ht="12" customHeight="1">
      <c r="A46" s="171" t="s">
        <v>557</v>
      </c>
      <c r="B46" s="218">
        <v>4.47</v>
      </c>
      <c r="C46" s="1825" t="s">
        <v>526</v>
      </c>
      <c r="D46" s="550" t="s">
        <v>93</v>
      </c>
      <c r="E46" s="1807">
        <v>2067.5382280000003</v>
      </c>
      <c r="F46" s="1807">
        <v>3384.5435509999998</v>
      </c>
      <c r="G46" s="1807">
        <v>1362.376098</v>
      </c>
      <c r="H46" s="1807">
        <v>6055.306352000002</v>
      </c>
      <c r="I46" s="1807">
        <v>1142.5415229999996</v>
      </c>
      <c r="J46" s="1807">
        <v>602.7658360000003</v>
      </c>
      <c r="K46" s="1807">
        <v>370.291402</v>
      </c>
      <c r="L46" s="1807">
        <v>138.133763</v>
      </c>
      <c r="M46" s="1804">
        <v>1691.5855790000005</v>
      </c>
      <c r="N46" s="1804">
        <v>1834</v>
      </c>
      <c r="O46" s="1799">
        <v>4206.150902999999</v>
      </c>
      <c r="P46" s="1799">
        <v>5798.770807999998</v>
      </c>
      <c r="Q46" s="1807">
        <f>SUM(E46:P46)</f>
        <v>28654.004043</v>
      </c>
    </row>
    <row r="47" spans="1:17" ht="12" customHeight="1">
      <c r="A47" s="171" t="s">
        <v>527</v>
      </c>
      <c r="B47" s="218">
        <v>11</v>
      </c>
      <c r="C47" s="1826"/>
      <c r="D47" s="550" t="s">
        <v>93</v>
      </c>
      <c r="E47" s="1809"/>
      <c r="F47" s="1809"/>
      <c r="G47" s="1809"/>
      <c r="H47" s="1809"/>
      <c r="I47" s="1809"/>
      <c r="J47" s="1809"/>
      <c r="K47" s="1809"/>
      <c r="L47" s="1809"/>
      <c r="M47" s="1806"/>
      <c r="N47" s="1806"/>
      <c r="O47" s="1800"/>
      <c r="P47" s="1800"/>
      <c r="Q47" s="1809"/>
    </row>
    <row r="48" spans="1:17" ht="12" customHeight="1">
      <c r="A48" s="162" t="s">
        <v>558</v>
      </c>
      <c r="B48" s="252">
        <v>14.5</v>
      </c>
      <c r="C48" s="1380" t="s">
        <v>559</v>
      </c>
      <c r="D48" s="550" t="s">
        <v>93</v>
      </c>
      <c r="E48" s="745">
        <v>2904.1730519999996</v>
      </c>
      <c r="F48" s="745">
        <v>3033.1192730000002</v>
      </c>
      <c r="G48" s="745">
        <v>3342.1915529999997</v>
      </c>
      <c r="H48" s="745">
        <v>8080.2041389999995</v>
      </c>
      <c r="I48" s="745">
        <v>4122.130514999999</v>
      </c>
      <c r="J48" s="745">
        <v>1147.3926380000003</v>
      </c>
      <c r="K48" s="745">
        <v>396.591933</v>
      </c>
      <c r="L48" s="745">
        <v>264.59282</v>
      </c>
      <c r="M48" s="1376">
        <v>341.979524</v>
      </c>
      <c r="N48" s="1376">
        <v>955</v>
      </c>
      <c r="O48" s="514">
        <v>2873.7739400000005</v>
      </c>
      <c r="P48" s="514">
        <v>5206.8199079999995</v>
      </c>
      <c r="Q48" s="745">
        <f>SUM(E48:P48)</f>
        <v>32667.969294999995</v>
      </c>
    </row>
    <row r="49" spans="1:17" ht="12" customHeight="1">
      <c r="A49" s="201" t="s">
        <v>560</v>
      </c>
      <c r="B49" s="252">
        <v>1.73</v>
      </c>
      <c r="C49" s="1833" t="s">
        <v>561</v>
      </c>
      <c r="D49" s="550" t="s">
        <v>93</v>
      </c>
      <c r="E49" s="1807">
        <v>744.824253</v>
      </c>
      <c r="F49" s="1807">
        <v>493.273893</v>
      </c>
      <c r="G49" s="1807">
        <v>522.228142</v>
      </c>
      <c r="H49" s="1807">
        <v>1945.1012030000002</v>
      </c>
      <c r="I49" s="1807">
        <v>1815.3993479999997</v>
      </c>
      <c r="J49" s="1807">
        <v>465.1286159999998</v>
      </c>
      <c r="K49" s="1807">
        <v>95.88465300000003</v>
      </c>
      <c r="L49" s="1807">
        <v>-1.452942999999997</v>
      </c>
      <c r="M49" s="1804">
        <v>-5.244667999999998</v>
      </c>
      <c r="N49" s="1804">
        <v>-8</v>
      </c>
      <c r="O49" s="1799">
        <v>752.293634</v>
      </c>
      <c r="P49" s="1799">
        <v>1385.9170789999996</v>
      </c>
      <c r="Q49" s="1807">
        <f>SUM(E49:P49)</f>
        <v>8205.35321</v>
      </c>
    </row>
    <row r="50" spans="1:17" ht="12" customHeight="1">
      <c r="A50" s="201" t="s">
        <v>562</v>
      </c>
      <c r="B50" s="252">
        <v>0.3</v>
      </c>
      <c r="C50" s="1834"/>
      <c r="D50" s="550" t="s">
        <v>93</v>
      </c>
      <c r="E50" s="1808"/>
      <c r="F50" s="1808"/>
      <c r="G50" s="1808"/>
      <c r="H50" s="1808"/>
      <c r="I50" s="1808"/>
      <c r="J50" s="1808"/>
      <c r="K50" s="1808"/>
      <c r="L50" s="1808"/>
      <c r="M50" s="1805"/>
      <c r="N50" s="1805"/>
      <c r="O50" s="1801"/>
      <c r="P50" s="1801"/>
      <c r="Q50" s="1808"/>
    </row>
    <row r="51" spans="1:17" ht="12" customHeight="1">
      <c r="A51" s="201" t="s">
        <v>563</v>
      </c>
      <c r="B51" s="252">
        <v>1.5</v>
      </c>
      <c r="C51" s="1835"/>
      <c r="D51" s="550" t="s">
        <v>93</v>
      </c>
      <c r="E51" s="1809"/>
      <c r="F51" s="1809"/>
      <c r="G51" s="1809"/>
      <c r="H51" s="1809"/>
      <c r="I51" s="1809"/>
      <c r="J51" s="1809"/>
      <c r="K51" s="1809"/>
      <c r="L51" s="1809"/>
      <c r="M51" s="1806"/>
      <c r="N51" s="1806"/>
      <c r="O51" s="1800"/>
      <c r="P51" s="1800"/>
      <c r="Q51" s="1809"/>
    </row>
    <row r="52" spans="1:17" ht="12" customHeight="1">
      <c r="A52" s="1425" t="s">
        <v>1188</v>
      </c>
      <c r="B52" s="1426">
        <v>2.3</v>
      </c>
      <c r="C52" s="1427" t="s">
        <v>564</v>
      </c>
      <c r="D52" s="1428" t="s">
        <v>93</v>
      </c>
      <c r="E52" s="1429">
        <v>751.543393</v>
      </c>
      <c r="F52" s="1429">
        <v>659.817347</v>
      </c>
      <c r="G52" s="1429">
        <v>676.5294449999998</v>
      </c>
      <c r="H52" s="1429">
        <v>2736.673332</v>
      </c>
      <c r="I52" s="1429">
        <v>1525.5017409999998</v>
      </c>
      <c r="J52" s="1429">
        <v>338.21237799999994</v>
      </c>
      <c r="K52" s="1429">
        <v>147.03082999999998</v>
      </c>
      <c r="L52" s="1429">
        <v>140.428035</v>
      </c>
      <c r="M52" s="1432">
        <v>153</v>
      </c>
      <c r="N52" s="1430">
        <v>186</v>
      </c>
      <c r="O52" s="1431">
        <v>322.09253400000006</v>
      </c>
      <c r="P52" s="1431">
        <v>1406.465079</v>
      </c>
      <c r="Q52" s="1429">
        <f>SUM(E52:P52)</f>
        <v>9043.294114</v>
      </c>
    </row>
    <row r="53" spans="1:17" ht="12" customHeight="1">
      <c r="A53" s="172" t="s">
        <v>565</v>
      </c>
      <c r="B53" s="252">
        <v>4.8</v>
      </c>
      <c r="C53" s="1810" t="s">
        <v>566</v>
      </c>
      <c r="D53" s="550" t="s">
        <v>93</v>
      </c>
      <c r="E53" s="1807">
        <v>1187.8960820000004</v>
      </c>
      <c r="F53" s="1807">
        <v>1155.4017669999998</v>
      </c>
      <c r="G53" s="1807">
        <v>718.4149900000002</v>
      </c>
      <c r="H53" s="1807">
        <v>2440.252738</v>
      </c>
      <c r="I53" s="1807">
        <v>626.68549</v>
      </c>
      <c r="J53" s="1807">
        <v>67.37930199999998</v>
      </c>
      <c r="K53" s="1807">
        <v>1.3041799999999997</v>
      </c>
      <c r="L53" s="1807">
        <v>3.3617610000000004</v>
      </c>
      <c r="M53" s="1804">
        <v>406.33764199999996</v>
      </c>
      <c r="N53" s="1804">
        <v>856</v>
      </c>
      <c r="O53" s="1799">
        <v>1423.7536730000002</v>
      </c>
      <c r="P53" s="1799">
        <v>1954.375201</v>
      </c>
      <c r="Q53" s="1807">
        <f>SUM(E53:P53)</f>
        <v>10841.162826000002</v>
      </c>
    </row>
    <row r="54" spans="1:17" ht="12" customHeight="1">
      <c r="A54" s="172" t="s">
        <v>567</v>
      </c>
      <c r="B54" s="252">
        <v>1.5</v>
      </c>
      <c r="C54" s="1810"/>
      <c r="D54" s="550" t="s">
        <v>93</v>
      </c>
      <c r="E54" s="1809"/>
      <c r="F54" s="1809"/>
      <c r="G54" s="1809"/>
      <c r="H54" s="1809"/>
      <c r="I54" s="1809"/>
      <c r="J54" s="1809"/>
      <c r="K54" s="1809"/>
      <c r="L54" s="1809"/>
      <c r="M54" s="1806"/>
      <c r="N54" s="1806"/>
      <c r="O54" s="1800"/>
      <c r="P54" s="1800"/>
      <c r="Q54" s="1809"/>
    </row>
    <row r="55" spans="1:17" ht="12" customHeight="1">
      <c r="A55" s="217" t="s">
        <v>608</v>
      </c>
      <c r="B55" s="218">
        <v>4.076</v>
      </c>
      <c r="C55" s="1825" t="s">
        <v>607</v>
      </c>
      <c r="D55" s="550" t="s">
        <v>93</v>
      </c>
      <c r="E55" s="1807">
        <v>683.8933210000002</v>
      </c>
      <c r="F55" s="1807">
        <v>370.59670400000005</v>
      </c>
      <c r="G55" s="1807">
        <v>313.45757800000007</v>
      </c>
      <c r="H55" s="1807">
        <v>1120.5570839999996</v>
      </c>
      <c r="I55" s="1807">
        <v>414.946496</v>
      </c>
      <c r="J55" s="1807">
        <v>66.786774</v>
      </c>
      <c r="K55" s="1807">
        <v>-4.362045000000001</v>
      </c>
      <c r="L55" s="1807">
        <v>-6.081198999999997</v>
      </c>
      <c r="M55" s="1804">
        <v>22.048887000000004</v>
      </c>
      <c r="N55" s="1804">
        <v>81</v>
      </c>
      <c r="O55" s="1799">
        <v>580.423965</v>
      </c>
      <c r="P55" s="1799">
        <v>1547.6278829999997</v>
      </c>
      <c r="Q55" s="1807">
        <f>SUM(E55:P55)</f>
        <v>5190.895447999999</v>
      </c>
    </row>
    <row r="56" spans="1:17" ht="12" customHeight="1">
      <c r="A56" s="217" t="s">
        <v>609</v>
      </c>
      <c r="B56" s="218">
        <v>0.882</v>
      </c>
      <c r="C56" s="1826"/>
      <c r="D56" s="550" t="s">
        <v>93</v>
      </c>
      <c r="E56" s="1809"/>
      <c r="F56" s="1809"/>
      <c r="G56" s="1809"/>
      <c r="H56" s="1809"/>
      <c r="I56" s="1809"/>
      <c r="J56" s="1809"/>
      <c r="K56" s="1809"/>
      <c r="L56" s="1809"/>
      <c r="M56" s="1806"/>
      <c r="N56" s="1806"/>
      <c r="O56" s="1800"/>
      <c r="P56" s="1800"/>
      <c r="Q56" s="1809"/>
    </row>
    <row r="57" spans="1:17" ht="12" customHeight="1">
      <c r="A57" s="216" t="s">
        <v>604</v>
      </c>
      <c r="B57" s="218">
        <v>7.454</v>
      </c>
      <c r="C57" s="1825" t="s">
        <v>603</v>
      </c>
      <c r="D57" s="550" t="s">
        <v>93</v>
      </c>
      <c r="E57" s="1807">
        <v>3023.0580649999993</v>
      </c>
      <c r="F57" s="1807">
        <v>2103.3288290000005</v>
      </c>
      <c r="G57" s="1807">
        <v>1927.6661870000003</v>
      </c>
      <c r="H57" s="1807">
        <v>8420.769362000001</v>
      </c>
      <c r="I57" s="1807">
        <v>4215.144755999999</v>
      </c>
      <c r="J57" s="1807">
        <v>792.233901</v>
      </c>
      <c r="K57" s="1807">
        <v>-5.629120000000007</v>
      </c>
      <c r="L57" s="1807">
        <v>-22.648100999999993</v>
      </c>
      <c r="M57" s="1804">
        <v>938.4488530000001</v>
      </c>
      <c r="N57" s="1804">
        <v>1880</v>
      </c>
      <c r="O57" s="1799">
        <v>3451.3480519999994</v>
      </c>
      <c r="P57" s="1799">
        <v>6423.659548</v>
      </c>
      <c r="Q57" s="1807">
        <f>SUM(E57:P57)</f>
        <v>33147.380332</v>
      </c>
    </row>
    <row r="58" spans="1:17" ht="12" customHeight="1">
      <c r="A58" s="216" t="s">
        <v>605</v>
      </c>
      <c r="B58" s="218">
        <v>2.722</v>
      </c>
      <c r="C58" s="1843"/>
      <c r="D58" s="550" t="s">
        <v>93</v>
      </c>
      <c r="E58" s="1808"/>
      <c r="F58" s="1808"/>
      <c r="G58" s="1808"/>
      <c r="H58" s="1808"/>
      <c r="I58" s="1808"/>
      <c r="J58" s="1808"/>
      <c r="K58" s="1808"/>
      <c r="L58" s="1808"/>
      <c r="M58" s="1805"/>
      <c r="N58" s="1805"/>
      <c r="O58" s="1801"/>
      <c r="P58" s="1801"/>
      <c r="Q58" s="1808"/>
    </row>
    <row r="59" spans="1:17" ht="12" customHeight="1">
      <c r="A59" s="216" t="s">
        <v>606</v>
      </c>
      <c r="B59" s="252">
        <v>4.724</v>
      </c>
      <c r="C59" s="1835"/>
      <c r="D59" s="550" t="s">
        <v>93</v>
      </c>
      <c r="E59" s="1809"/>
      <c r="F59" s="1809"/>
      <c r="G59" s="1809"/>
      <c r="H59" s="1809"/>
      <c r="I59" s="1809"/>
      <c r="J59" s="1809"/>
      <c r="K59" s="1809"/>
      <c r="L59" s="1809"/>
      <c r="M59" s="1806"/>
      <c r="N59" s="1806"/>
      <c r="O59" s="1800"/>
      <c r="P59" s="1800"/>
      <c r="Q59" s="1809"/>
    </row>
    <row r="60" spans="1:17" ht="12" customHeight="1">
      <c r="A60" s="327" t="s">
        <v>723</v>
      </c>
      <c r="B60" s="252">
        <v>12.7</v>
      </c>
      <c r="C60" s="1365" t="s">
        <v>726</v>
      </c>
      <c r="D60" s="550" t="s">
        <v>93</v>
      </c>
      <c r="E60" s="745">
        <v>2741.571606</v>
      </c>
      <c r="F60" s="745">
        <v>2938.4146300000007</v>
      </c>
      <c r="G60" s="745">
        <v>2070.560362</v>
      </c>
      <c r="H60" s="745">
        <v>5584.6259359999995</v>
      </c>
      <c r="I60" s="745">
        <v>1468.7956630000003</v>
      </c>
      <c r="J60" s="745">
        <v>25.843173999999998</v>
      </c>
      <c r="K60" s="745">
        <v>0.5677019999999975</v>
      </c>
      <c r="L60" s="745">
        <v>37.65767900000001</v>
      </c>
      <c r="M60" s="1376">
        <v>878.2454150000001</v>
      </c>
      <c r="N60" s="1376">
        <v>1645</v>
      </c>
      <c r="O60" s="514">
        <v>3474.615885999999</v>
      </c>
      <c r="P60" s="514">
        <v>5171.934637</v>
      </c>
      <c r="Q60" s="745">
        <f aca="true" t="shared" si="0" ref="Q60:Q66">SUM(E60:P60)</f>
        <v>26037.832690000003</v>
      </c>
    </row>
    <row r="61" spans="1:17" ht="12" customHeight="1">
      <c r="A61" s="328" t="s">
        <v>724</v>
      </c>
      <c r="B61" s="268">
        <v>5.1</v>
      </c>
      <c r="C61" s="1367" t="s">
        <v>725</v>
      </c>
      <c r="D61" s="551" t="s">
        <v>93</v>
      </c>
      <c r="E61" s="745">
        <v>929.5835479999998</v>
      </c>
      <c r="F61" s="745">
        <v>659.9978949999999</v>
      </c>
      <c r="G61" s="745">
        <v>605.504376</v>
      </c>
      <c r="H61" s="745">
        <v>2982.665902</v>
      </c>
      <c r="I61" s="745">
        <v>2284.973139</v>
      </c>
      <c r="J61" s="745">
        <v>562.251673</v>
      </c>
      <c r="K61" s="745">
        <v>292.9472069999999</v>
      </c>
      <c r="L61" s="745">
        <v>170.84681400000002</v>
      </c>
      <c r="M61" s="1376">
        <v>140.37295199999997</v>
      </c>
      <c r="N61" s="1376">
        <v>201</v>
      </c>
      <c r="O61" s="514">
        <v>802.154875</v>
      </c>
      <c r="P61" s="514">
        <v>2434.1528909999997</v>
      </c>
      <c r="Q61" s="745">
        <f t="shared" si="0"/>
        <v>12066.451272</v>
      </c>
    </row>
    <row r="62" spans="1:17" ht="12" customHeight="1">
      <c r="A62" s="326" t="s">
        <v>792</v>
      </c>
      <c r="B62" s="252">
        <v>14.96</v>
      </c>
      <c r="C62" s="1365" t="s">
        <v>794</v>
      </c>
      <c r="D62" s="551" t="s">
        <v>93</v>
      </c>
      <c r="E62" s="745">
        <v>6637.041789</v>
      </c>
      <c r="F62" s="745">
        <v>6191.462356000003</v>
      </c>
      <c r="G62" s="745">
        <v>4160.217536999999</v>
      </c>
      <c r="H62" s="745">
        <v>11051.695161000001</v>
      </c>
      <c r="I62" s="745">
        <v>8999.798081000003</v>
      </c>
      <c r="J62" s="745">
        <v>1553.2589919999996</v>
      </c>
      <c r="K62" s="745">
        <v>346.407021</v>
      </c>
      <c r="L62" s="745">
        <v>518.6164859999999</v>
      </c>
      <c r="M62" s="1376">
        <v>3765.655202</v>
      </c>
      <c r="N62" s="1376">
        <v>4412</v>
      </c>
      <c r="O62" s="514">
        <v>4811.710969</v>
      </c>
      <c r="P62" s="514">
        <v>9187.667249999997</v>
      </c>
      <c r="Q62" s="745">
        <f t="shared" si="0"/>
        <v>61635.53084400001</v>
      </c>
    </row>
    <row r="63" spans="1:17" ht="12" customHeight="1">
      <c r="A63" s="624" t="s">
        <v>864</v>
      </c>
      <c r="B63" s="252">
        <v>3.13</v>
      </c>
      <c r="C63" s="1365" t="s">
        <v>865</v>
      </c>
      <c r="D63" s="551" t="s">
        <v>93</v>
      </c>
      <c r="E63" s="745">
        <v>1494.0368070000002</v>
      </c>
      <c r="F63" s="745">
        <v>1484.4036289999997</v>
      </c>
      <c r="G63" s="745">
        <v>1063.166076</v>
      </c>
      <c r="H63" s="745">
        <v>2403.134982</v>
      </c>
      <c r="I63" s="745">
        <v>1002.37066</v>
      </c>
      <c r="J63" s="745">
        <v>221.36799600000003</v>
      </c>
      <c r="K63" s="745">
        <v>29.620851999999996</v>
      </c>
      <c r="L63" s="745">
        <v>0.020231000000000676</v>
      </c>
      <c r="M63" s="1376">
        <v>719.911979</v>
      </c>
      <c r="N63" s="1376">
        <v>791</v>
      </c>
      <c r="O63" s="514">
        <v>1405.6150539999999</v>
      </c>
      <c r="P63" s="514">
        <v>2319.1244050000005</v>
      </c>
      <c r="Q63" s="745">
        <f t="shared" si="0"/>
        <v>12933.772671</v>
      </c>
    </row>
    <row r="64" spans="1:17" ht="12" customHeight="1">
      <c r="A64" s="326" t="s">
        <v>791</v>
      </c>
      <c r="B64" s="252">
        <v>24.9</v>
      </c>
      <c r="C64" s="1365" t="s">
        <v>866</v>
      </c>
      <c r="D64" s="551" t="s">
        <v>93</v>
      </c>
      <c r="E64" s="745">
        <v>2459.244159</v>
      </c>
      <c r="F64" s="745">
        <v>2493.3907639999998</v>
      </c>
      <c r="G64" s="745">
        <v>1022.3954220000003</v>
      </c>
      <c r="H64" s="745">
        <v>4232.3226509999995</v>
      </c>
      <c r="I64" s="745">
        <v>730.2550299999996</v>
      </c>
      <c r="J64" s="745">
        <v>10.117931999999998</v>
      </c>
      <c r="K64" s="745">
        <v>-19.996296000000005</v>
      </c>
      <c r="L64" s="745">
        <v>-8.461556</v>
      </c>
      <c r="M64" s="1376">
        <v>1790.0274439999998</v>
      </c>
      <c r="N64" s="1376">
        <v>1523</v>
      </c>
      <c r="O64" s="514">
        <v>3221.518143</v>
      </c>
      <c r="P64" s="514">
        <v>4438.237120000001</v>
      </c>
      <c r="Q64" s="745">
        <f t="shared" si="0"/>
        <v>21892.050813</v>
      </c>
    </row>
    <row r="65" spans="1:17" ht="12" customHeight="1">
      <c r="A65" s="328" t="s">
        <v>793</v>
      </c>
      <c r="B65" s="268">
        <v>21.9</v>
      </c>
      <c r="C65" s="1367" t="s">
        <v>867</v>
      </c>
      <c r="D65" s="551" t="s">
        <v>93</v>
      </c>
      <c r="E65" s="745">
        <v>5146.944643999999</v>
      </c>
      <c r="F65" s="745">
        <v>2754.3146779999993</v>
      </c>
      <c r="G65" s="745">
        <v>2634.24489</v>
      </c>
      <c r="H65" s="745">
        <v>12435.322752</v>
      </c>
      <c r="I65" s="745">
        <v>15300.733897999997</v>
      </c>
      <c r="J65" s="745">
        <v>6859.820760000002</v>
      </c>
      <c r="K65" s="745">
        <v>2439.2181</v>
      </c>
      <c r="L65" s="745">
        <v>903.6403000000001</v>
      </c>
      <c r="M65" s="1376">
        <v>2165.532725</v>
      </c>
      <c r="N65" s="1376">
        <v>3896</v>
      </c>
      <c r="O65" s="514">
        <v>4318.417727999999</v>
      </c>
      <c r="P65" s="514">
        <v>9687.663645</v>
      </c>
      <c r="Q65" s="745">
        <f t="shared" si="0"/>
        <v>68541.85412</v>
      </c>
    </row>
    <row r="66" spans="1:17" ht="12" customHeight="1">
      <c r="A66" s="625" t="s">
        <v>1029</v>
      </c>
      <c r="B66" s="268">
        <v>13.9</v>
      </c>
      <c r="C66" s="1365" t="s">
        <v>1030</v>
      </c>
      <c r="D66" s="622" t="s">
        <v>93</v>
      </c>
      <c r="E66" s="745">
        <v>889.9265619999999</v>
      </c>
      <c r="F66" s="745">
        <v>605.750373</v>
      </c>
      <c r="G66" s="745">
        <v>598.5521679999999</v>
      </c>
      <c r="H66" s="745">
        <v>4167.978125</v>
      </c>
      <c r="I66" s="745">
        <v>3485.771923</v>
      </c>
      <c r="J66" s="745">
        <v>3606.374015</v>
      </c>
      <c r="K66" s="745">
        <v>388.520445</v>
      </c>
      <c r="L66" s="745">
        <v>-15.975730999999989</v>
      </c>
      <c r="M66" s="1376">
        <v>-15.811577000000002</v>
      </c>
      <c r="N66" s="1376">
        <v>1184</v>
      </c>
      <c r="O66" s="514">
        <v>1692.508272</v>
      </c>
      <c r="P66" s="514">
        <v>3741.6519709999993</v>
      </c>
      <c r="Q66" s="745">
        <f t="shared" si="0"/>
        <v>20329.246546</v>
      </c>
    </row>
    <row r="67" spans="4:17" ht="12" customHeight="1" thickBot="1"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</row>
    <row r="68" spans="1:17" ht="12" customHeight="1" thickBot="1">
      <c r="A68" s="173"/>
      <c r="B68" s="626">
        <v>2266</v>
      </c>
      <c r="C68" s="173"/>
      <c r="D68" s="174"/>
      <c r="E68" s="627">
        <f>SUM(E20:E67)</f>
        <v>85751.99054999997</v>
      </c>
      <c r="F68" s="627">
        <f aca="true" t="shared" si="1" ref="F68:P68">SUM(F20:F67)</f>
        <v>75785.88604299999</v>
      </c>
      <c r="G68" s="627">
        <f t="shared" si="1"/>
        <v>64447.631132</v>
      </c>
      <c r="H68" s="627">
        <f t="shared" si="1"/>
        <v>179182.27789499998</v>
      </c>
      <c r="I68" s="627">
        <f t="shared" si="1"/>
        <v>126219.10420599999</v>
      </c>
      <c r="J68" s="627">
        <f t="shared" si="1"/>
        <v>46852.949089</v>
      </c>
      <c r="K68" s="627">
        <f t="shared" si="1"/>
        <v>17610.521814</v>
      </c>
      <c r="L68" s="627">
        <f t="shared" si="1"/>
        <v>9944.183969999998</v>
      </c>
      <c r="M68" s="627">
        <f t="shared" si="1"/>
        <v>28562.971410000006</v>
      </c>
      <c r="N68" s="627">
        <f t="shared" si="1"/>
        <v>42699</v>
      </c>
      <c r="O68" s="627">
        <f t="shared" si="1"/>
        <v>74535.348127</v>
      </c>
      <c r="P68" s="627">
        <f t="shared" si="1"/>
        <v>142536.18790800002</v>
      </c>
      <c r="Q68" s="627">
        <f>SUM(Q20:Q67)</f>
        <v>894128.052144</v>
      </c>
    </row>
    <row r="69" spans="1:17" ht="12" customHeight="1">
      <c r="A69" s="196"/>
      <c r="B69" s="628"/>
      <c r="C69" s="196"/>
      <c r="D69" s="174"/>
      <c r="E69" s="629"/>
      <c r="F69" s="629"/>
      <c r="G69" s="629"/>
      <c r="H69" s="629"/>
      <c r="I69" s="629"/>
      <c r="J69" s="629"/>
      <c r="K69" s="629"/>
      <c r="L69" s="629"/>
      <c r="M69" s="629"/>
      <c r="N69" s="629"/>
      <c r="O69" s="629"/>
      <c r="P69" s="629"/>
      <c r="Q69" s="629"/>
    </row>
    <row r="70" spans="1:17" ht="12" customHeight="1">
      <c r="A70" s="1861" t="s">
        <v>1031</v>
      </c>
      <c r="B70" s="1862"/>
      <c r="C70" s="1863"/>
      <c r="D70" s="1863"/>
      <c r="E70" s="1863"/>
      <c r="F70" s="1863"/>
      <c r="G70" s="1863"/>
      <c r="H70" s="1862"/>
      <c r="I70" s="1862"/>
      <c r="J70" s="1862"/>
      <c r="K70" s="1862"/>
      <c r="L70" s="1862"/>
      <c r="M70" s="1862"/>
      <c r="N70" s="1862"/>
      <c r="O70" s="1862"/>
      <c r="P70" s="1862"/>
      <c r="Q70" s="1864"/>
    </row>
    <row r="71" spans="1:19" ht="12" customHeight="1">
      <c r="A71" s="163" t="s">
        <v>150</v>
      </c>
      <c r="B71" s="163" t="s">
        <v>151</v>
      </c>
      <c r="C71" s="163" t="s">
        <v>152</v>
      </c>
      <c r="D71" s="164" t="s">
        <v>92</v>
      </c>
      <c r="E71" s="253" t="s">
        <v>87</v>
      </c>
      <c r="F71" s="253" t="s">
        <v>88</v>
      </c>
      <c r="G71" s="253" t="s">
        <v>89</v>
      </c>
      <c r="H71" s="253" t="s">
        <v>90</v>
      </c>
      <c r="I71" s="253" t="s">
        <v>1003</v>
      </c>
      <c r="J71" s="253" t="s">
        <v>1018</v>
      </c>
      <c r="K71" s="601" t="s">
        <v>1178</v>
      </c>
      <c r="L71" s="601" t="s">
        <v>1179</v>
      </c>
      <c r="M71" s="930" t="s">
        <v>1306</v>
      </c>
      <c r="N71" s="955" t="s">
        <v>1312</v>
      </c>
      <c r="O71" s="955" t="s">
        <v>1333</v>
      </c>
      <c r="P71" s="955" t="s">
        <v>1334</v>
      </c>
      <c r="Q71" s="746">
        <v>2022</v>
      </c>
      <c r="R71" s="1357"/>
      <c r="S71" s="1361"/>
    </row>
    <row r="72" spans="1:19" ht="13.5" customHeight="1">
      <c r="A72" s="1036" t="s">
        <v>198</v>
      </c>
      <c r="B72" s="175">
        <v>5</v>
      </c>
      <c r="C72" s="1036" t="s">
        <v>199</v>
      </c>
      <c r="D72" s="176">
        <v>35</v>
      </c>
      <c r="E72" s="552">
        <v>2464.71</v>
      </c>
      <c r="F72" s="552">
        <v>2172.22</v>
      </c>
      <c r="G72" s="552">
        <v>2273.3000000000006</v>
      </c>
      <c r="H72" s="552">
        <v>2451.409999999999</v>
      </c>
      <c r="I72" s="659">
        <v>2471.34</v>
      </c>
      <c r="J72" s="659">
        <v>2129.0699999999997</v>
      </c>
      <c r="K72" s="552">
        <v>2109.48</v>
      </c>
      <c r="L72" s="552">
        <v>1629.8100000000013</v>
      </c>
      <c r="M72" s="928">
        <v>1302.8399999999983</v>
      </c>
      <c r="N72" s="928">
        <v>1857.0200000000004</v>
      </c>
      <c r="O72" s="928">
        <v>2025.8099999999995</v>
      </c>
      <c r="P72" s="928">
        <v>2536.290000000001</v>
      </c>
      <c r="Q72" s="747">
        <f>SUM(E72:P72)</f>
        <v>25423.300000000003</v>
      </c>
      <c r="R72" s="1358"/>
      <c r="S72" s="1361"/>
    </row>
    <row r="73" spans="1:19" ht="13.5" customHeight="1">
      <c r="A73" s="1036" t="s">
        <v>200</v>
      </c>
      <c r="B73" s="175">
        <v>0.4</v>
      </c>
      <c r="C73" s="1803" t="s">
        <v>201</v>
      </c>
      <c r="D73" s="177" t="s">
        <v>202</v>
      </c>
      <c r="E73" s="552">
        <v>228.80511999999987</v>
      </c>
      <c r="F73" s="552">
        <v>198.95840000000027</v>
      </c>
      <c r="G73" s="552">
        <v>210.77872000000033</v>
      </c>
      <c r="H73" s="552">
        <v>244.24304000000004</v>
      </c>
      <c r="I73" s="659">
        <v>264.8326399999997</v>
      </c>
      <c r="J73" s="659">
        <v>255.87263999999968</v>
      </c>
      <c r="K73" s="659">
        <v>113.55536000000001</v>
      </c>
      <c r="L73" s="659">
        <v>85.0956799999997</v>
      </c>
      <c r="M73" s="928">
        <v>107.19296</v>
      </c>
      <c r="N73" s="928">
        <v>146.41951999999998</v>
      </c>
      <c r="O73" s="1039">
        <v>163.77184000000008</v>
      </c>
      <c r="P73" s="1039">
        <v>261.5251199999999</v>
      </c>
      <c r="Q73" s="747">
        <f aca="true" t="shared" si="2" ref="Q73:Q136">SUM(E73:P73)</f>
        <v>2281.0510399999994</v>
      </c>
      <c r="R73" s="1359"/>
      <c r="S73" s="1361"/>
    </row>
    <row r="74" spans="1:19" ht="13.5" customHeight="1">
      <c r="A74" s="1036" t="s">
        <v>203</v>
      </c>
      <c r="B74" s="175">
        <v>0.2</v>
      </c>
      <c r="C74" s="1803"/>
      <c r="D74" s="177" t="s">
        <v>202</v>
      </c>
      <c r="E74" s="552">
        <v>62.94215999999986</v>
      </c>
      <c r="F74" s="552">
        <v>68.11783999999984</v>
      </c>
      <c r="G74" s="552">
        <v>68.83344000000041</v>
      </c>
      <c r="H74" s="552">
        <v>103.59887999999977</v>
      </c>
      <c r="I74" s="659">
        <v>101.06112000000023</v>
      </c>
      <c r="J74" s="659">
        <v>28.077519999999787</v>
      </c>
      <c r="K74" s="552">
        <v>0</v>
      </c>
      <c r="L74" s="552">
        <v>0</v>
      </c>
      <c r="M74" s="928">
        <v>0</v>
      </c>
      <c r="N74" s="928">
        <v>0</v>
      </c>
      <c r="O74" s="1039">
        <v>22.771359999999987</v>
      </c>
      <c r="P74" s="1039">
        <v>101.40080000000016</v>
      </c>
      <c r="Q74" s="747">
        <f t="shared" si="2"/>
        <v>556.80312</v>
      </c>
      <c r="R74" s="1358"/>
      <c r="S74" s="1361"/>
    </row>
    <row r="75" spans="1:19" ht="13.5" customHeight="1">
      <c r="A75" s="1036" t="s">
        <v>204</v>
      </c>
      <c r="B75" s="175">
        <v>9.2</v>
      </c>
      <c r="C75" s="1035" t="s">
        <v>205</v>
      </c>
      <c r="D75" s="177" t="s">
        <v>206</v>
      </c>
      <c r="E75" s="552">
        <v>4312.378</v>
      </c>
      <c r="F75" s="552">
        <v>3132.962</v>
      </c>
      <c r="G75" s="552">
        <v>3358.0120000000024</v>
      </c>
      <c r="H75" s="552">
        <v>3252.885999999996</v>
      </c>
      <c r="I75" s="659">
        <v>2649.807999999999</v>
      </c>
      <c r="J75" s="659">
        <v>2171.9600000000046</v>
      </c>
      <c r="K75" s="552">
        <v>1437.576</v>
      </c>
      <c r="L75" s="552">
        <v>1282.5120000000022</v>
      </c>
      <c r="M75" s="928">
        <v>1372.098</v>
      </c>
      <c r="N75" s="928">
        <v>1730.3579999999965</v>
      </c>
      <c r="O75" s="1040">
        <v>2220.582000000004</v>
      </c>
      <c r="P75" s="1040">
        <v>3487.245999999999</v>
      </c>
      <c r="Q75" s="747">
        <f t="shared" si="2"/>
        <v>30408.378000000004</v>
      </c>
      <c r="R75" s="1359"/>
      <c r="S75" s="1361"/>
    </row>
    <row r="76" spans="1:19" ht="13.5" customHeight="1">
      <c r="A76" s="1036" t="s">
        <v>207</v>
      </c>
      <c r="B76" s="175">
        <v>0.6</v>
      </c>
      <c r="C76" s="1818" t="s">
        <v>208</v>
      </c>
      <c r="D76" s="177" t="s">
        <v>202</v>
      </c>
      <c r="E76" s="552">
        <v>107.32474999999977</v>
      </c>
      <c r="F76" s="552">
        <v>79.8795</v>
      </c>
      <c r="G76" s="552">
        <v>76.4364999999998</v>
      </c>
      <c r="H76" s="552">
        <v>203.93325</v>
      </c>
      <c r="I76" s="552">
        <v>181.87275</v>
      </c>
      <c r="J76" s="552">
        <v>105.64050000000003</v>
      </c>
      <c r="K76" s="552">
        <v>71.60425</v>
      </c>
      <c r="L76" s="552">
        <v>56.36874999999998</v>
      </c>
      <c r="M76" s="928">
        <v>58.83749999999998</v>
      </c>
      <c r="N76" s="928">
        <v>97.62750000000005</v>
      </c>
      <c r="O76" s="1039">
        <v>42.27925000000004</v>
      </c>
      <c r="P76" s="1039">
        <v>177.7952499999999</v>
      </c>
      <c r="Q76" s="747">
        <f t="shared" si="2"/>
        <v>1259.5997499999996</v>
      </c>
      <c r="R76" s="1358"/>
      <c r="S76" s="1361"/>
    </row>
    <row r="77" spans="1:19" ht="13.5" customHeight="1">
      <c r="A77" s="1036" t="s">
        <v>209</v>
      </c>
      <c r="B77" s="175">
        <v>0.395</v>
      </c>
      <c r="C77" s="1819"/>
      <c r="D77" s="177" t="s">
        <v>202</v>
      </c>
      <c r="E77" s="552">
        <v>0</v>
      </c>
      <c r="F77" s="552">
        <v>52</v>
      </c>
      <c r="G77" s="552">
        <v>38.599000000000004</v>
      </c>
      <c r="H77" s="552">
        <v>47.396</v>
      </c>
      <c r="I77" s="552">
        <v>46.13899999999998</v>
      </c>
      <c r="J77" s="552">
        <v>20.39700000000002</v>
      </c>
      <c r="K77" s="552">
        <v>0</v>
      </c>
      <c r="L77" s="552">
        <v>0</v>
      </c>
      <c r="M77" s="928">
        <v>11.403999999999996</v>
      </c>
      <c r="N77" s="928">
        <v>25.271899999999988</v>
      </c>
      <c r="O77" s="1039">
        <v>26.918000000000006</v>
      </c>
      <c r="P77" s="1039">
        <v>48.61200000000002</v>
      </c>
      <c r="Q77" s="747">
        <f t="shared" si="2"/>
        <v>316.73690000000005</v>
      </c>
      <c r="R77" s="1359"/>
      <c r="S77" s="1361"/>
    </row>
    <row r="78" spans="1:19" ht="13.5" customHeight="1">
      <c r="A78" s="1036" t="s">
        <v>210</v>
      </c>
      <c r="B78" s="175">
        <v>0.625</v>
      </c>
      <c r="C78" s="1819"/>
      <c r="D78" s="177" t="s">
        <v>211</v>
      </c>
      <c r="E78" s="552">
        <v>100.17225000000026</v>
      </c>
      <c r="F78" s="552">
        <v>98.54150000000001</v>
      </c>
      <c r="G78" s="552">
        <v>118.321</v>
      </c>
      <c r="H78" s="552">
        <v>115.82974999999999</v>
      </c>
      <c r="I78" s="552">
        <v>111.16950000000003</v>
      </c>
      <c r="J78" s="552">
        <v>96.80199999999996</v>
      </c>
      <c r="K78" s="552">
        <v>77.987</v>
      </c>
      <c r="L78" s="552">
        <v>71.02125000000001</v>
      </c>
      <c r="M78" s="928">
        <v>68.20325000000003</v>
      </c>
      <c r="N78" s="928">
        <v>69.51774999999996</v>
      </c>
      <c r="O78" s="1039">
        <v>100.71024999999997</v>
      </c>
      <c r="P78" s="1039">
        <v>69.68175000000008</v>
      </c>
      <c r="Q78" s="747">
        <f t="shared" si="2"/>
        <v>1097.9572500000004</v>
      </c>
      <c r="R78" s="1358"/>
      <c r="S78" s="1361"/>
    </row>
    <row r="79" spans="1:19" ht="13.5" customHeight="1">
      <c r="A79" s="1036" t="s">
        <v>212</v>
      </c>
      <c r="B79" s="175">
        <v>4.8</v>
      </c>
      <c r="C79" s="1819"/>
      <c r="D79" s="177" t="s">
        <v>213</v>
      </c>
      <c r="E79" s="552">
        <v>1788.3519999999992</v>
      </c>
      <c r="F79" s="552">
        <v>1342.8240000000005</v>
      </c>
      <c r="G79" s="552">
        <v>1118.015999999996</v>
      </c>
      <c r="H79" s="552">
        <v>2490.336000000003</v>
      </c>
      <c r="I79" s="552">
        <v>2109.767999999999</v>
      </c>
      <c r="J79" s="552">
        <v>443.856</v>
      </c>
      <c r="K79" s="552">
        <v>30.56</v>
      </c>
      <c r="L79" s="552">
        <v>0</v>
      </c>
      <c r="M79" s="928">
        <v>671.9680000000001</v>
      </c>
      <c r="N79" s="928">
        <v>1063.392</v>
      </c>
      <c r="O79" s="1039">
        <v>1335.7600000000002</v>
      </c>
      <c r="P79" s="1039">
        <v>1901.4799999999996</v>
      </c>
      <c r="Q79" s="747">
        <f t="shared" si="2"/>
        <v>14296.311999999998</v>
      </c>
      <c r="R79" s="1359"/>
      <c r="S79" s="1361"/>
    </row>
    <row r="80" spans="1:19" ht="13.5" customHeight="1">
      <c r="A80" s="1036" t="s">
        <v>214</v>
      </c>
      <c r="B80" s="175">
        <v>1.2</v>
      </c>
      <c r="C80" s="1819"/>
      <c r="D80" s="177" t="s">
        <v>202</v>
      </c>
      <c r="E80" s="552">
        <v>542.121000000001</v>
      </c>
      <c r="F80" s="552">
        <v>531.8040000000001</v>
      </c>
      <c r="G80" s="552">
        <v>510.78599999999915</v>
      </c>
      <c r="H80" s="552">
        <v>702.6240000000016</v>
      </c>
      <c r="I80" s="552">
        <v>747.6539999999995</v>
      </c>
      <c r="J80" s="552">
        <v>610.6080000000005</v>
      </c>
      <c r="K80" s="552">
        <v>295.55100000000004</v>
      </c>
      <c r="L80" s="552">
        <v>124.59899999999988</v>
      </c>
      <c r="M80" s="928">
        <v>119.31900000000007</v>
      </c>
      <c r="N80" s="928">
        <v>176.553</v>
      </c>
      <c r="O80" s="1039">
        <v>303.159</v>
      </c>
      <c r="P80" s="1039">
        <v>523.0770000000001</v>
      </c>
      <c r="Q80" s="747">
        <f t="shared" si="2"/>
        <v>5187.855000000001</v>
      </c>
      <c r="R80" s="1358"/>
      <c r="S80" s="1361"/>
    </row>
    <row r="81" spans="1:19" ht="13.5" customHeight="1">
      <c r="A81" s="1036" t="s">
        <v>215</v>
      </c>
      <c r="B81" s="175">
        <v>1.4</v>
      </c>
      <c r="C81" s="1819"/>
      <c r="D81" s="177" t="s">
        <v>202</v>
      </c>
      <c r="E81" s="552">
        <v>692.7767999999995</v>
      </c>
      <c r="F81" s="552">
        <v>528.9236000000001</v>
      </c>
      <c r="G81" s="552">
        <v>598.3971999999995</v>
      </c>
      <c r="H81" s="552">
        <v>745.2534000000009</v>
      </c>
      <c r="I81" s="552">
        <v>844.9462400000002</v>
      </c>
      <c r="J81" s="552">
        <v>758.0543199999989</v>
      </c>
      <c r="K81" s="552">
        <v>596.2272000000006</v>
      </c>
      <c r="L81" s="552">
        <v>207.6867999999995</v>
      </c>
      <c r="M81" s="928">
        <v>376.72532000000075</v>
      </c>
      <c r="N81" s="928">
        <v>222.914559999999</v>
      </c>
      <c r="O81" s="1039">
        <v>460.90824000000043</v>
      </c>
      <c r="P81" s="1039">
        <v>607.103600000001</v>
      </c>
      <c r="Q81" s="747">
        <f t="shared" si="2"/>
        <v>6639.917280000001</v>
      </c>
      <c r="R81" s="1359"/>
      <c r="S81" s="1361"/>
    </row>
    <row r="82" spans="1:19" ht="13.5" customHeight="1">
      <c r="A82" s="1036" t="s">
        <v>216</v>
      </c>
      <c r="B82" s="175">
        <v>0.64</v>
      </c>
      <c r="C82" s="1819"/>
      <c r="D82" s="177" t="s">
        <v>202</v>
      </c>
      <c r="E82" s="552">
        <v>145.77400000000125</v>
      </c>
      <c r="F82" s="552">
        <v>142.02999999999884</v>
      </c>
      <c r="G82" s="552">
        <v>164.12800000000425</v>
      </c>
      <c r="H82" s="552">
        <v>134.15999999999985</v>
      </c>
      <c r="I82" s="552">
        <v>189.3199999999997</v>
      </c>
      <c r="J82" s="552">
        <v>228.91999999999825</v>
      </c>
      <c r="K82" s="552">
        <v>282.24000000000166</v>
      </c>
      <c r="L82" s="552">
        <v>240.79999999999927</v>
      </c>
      <c r="M82" s="928">
        <v>203.27999999999884</v>
      </c>
      <c r="N82" s="928">
        <v>124.34000000000015</v>
      </c>
      <c r="O82" s="1039">
        <v>102.13999999999942</v>
      </c>
      <c r="P82" s="1039">
        <v>153.72000000000116</v>
      </c>
      <c r="Q82" s="747">
        <f t="shared" si="2"/>
        <v>2110.8520000000026</v>
      </c>
      <c r="R82" s="1358"/>
      <c r="S82" s="1361"/>
    </row>
    <row r="83" spans="1:19" ht="13.5" customHeight="1">
      <c r="A83" s="1036" t="s">
        <v>217</v>
      </c>
      <c r="B83" s="175">
        <v>0.2</v>
      </c>
      <c r="C83" s="1819"/>
      <c r="D83" s="177" t="s">
        <v>202</v>
      </c>
      <c r="E83" s="552">
        <v>0</v>
      </c>
      <c r="F83" s="552">
        <v>0</v>
      </c>
      <c r="G83" s="552">
        <v>0</v>
      </c>
      <c r="H83" s="552">
        <v>0</v>
      </c>
      <c r="I83" s="552">
        <v>0</v>
      </c>
      <c r="J83" s="552">
        <v>0</v>
      </c>
      <c r="K83" s="552">
        <v>0</v>
      </c>
      <c r="L83" s="552">
        <v>0</v>
      </c>
      <c r="M83" s="928">
        <v>0</v>
      </c>
      <c r="N83" s="928">
        <v>0</v>
      </c>
      <c r="O83" s="1039">
        <v>0</v>
      </c>
      <c r="P83" s="1039">
        <v>0</v>
      </c>
      <c r="Q83" s="747">
        <f t="shared" si="2"/>
        <v>0</v>
      </c>
      <c r="R83" s="1359"/>
      <c r="S83" s="1361"/>
    </row>
    <row r="84" spans="1:19" ht="13.5" customHeight="1">
      <c r="A84" s="1036" t="s">
        <v>218</v>
      </c>
      <c r="B84" s="175">
        <v>0.1</v>
      </c>
      <c r="C84" s="1819"/>
      <c r="D84" s="177" t="s">
        <v>202</v>
      </c>
      <c r="E84" s="552">
        <v>37.347719999999974</v>
      </c>
      <c r="F84" s="552">
        <v>51.54348000000005</v>
      </c>
      <c r="G84" s="552">
        <v>66.28668000000002</v>
      </c>
      <c r="H84" s="552">
        <v>82.50179999999993</v>
      </c>
      <c r="I84" s="659">
        <v>46.68288000000004</v>
      </c>
      <c r="J84" s="659">
        <v>15.442080000000024</v>
      </c>
      <c r="K84" s="659">
        <v>0</v>
      </c>
      <c r="L84" s="659">
        <v>0</v>
      </c>
      <c r="M84" s="928">
        <v>0</v>
      </c>
      <c r="N84" s="928">
        <v>0</v>
      </c>
      <c r="O84" s="1039">
        <v>0</v>
      </c>
      <c r="P84" s="1039">
        <v>19.910999999999913</v>
      </c>
      <c r="Q84" s="747">
        <f t="shared" si="2"/>
        <v>319.71563999999995</v>
      </c>
      <c r="R84" s="1358"/>
      <c r="S84" s="1361"/>
    </row>
    <row r="85" spans="1:19" ht="13.5" customHeight="1">
      <c r="A85" s="1036" t="s">
        <v>219</v>
      </c>
      <c r="B85" s="175">
        <v>0.83</v>
      </c>
      <c r="C85" s="1819"/>
      <c r="D85" s="177" t="s">
        <v>202</v>
      </c>
      <c r="E85" s="552">
        <v>252.36799999999994</v>
      </c>
      <c r="F85" s="552">
        <v>179.56899999999996</v>
      </c>
      <c r="G85" s="552">
        <v>220.567</v>
      </c>
      <c r="H85" s="552">
        <v>246.02800000000022</v>
      </c>
      <c r="I85" s="552">
        <v>125.8190000000004</v>
      </c>
      <c r="J85" s="552">
        <v>53.15299999999934</v>
      </c>
      <c r="K85" s="552">
        <v>0</v>
      </c>
      <c r="L85" s="552">
        <v>0</v>
      </c>
      <c r="M85" s="928">
        <v>0</v>
      </c>
      <c r="N85" s="928">
        <v>0</v>
      </c>
      <c r="O85" s="1039">
        <v>12.368000000000393</v>
      </c>
      <c r="P85" s="1039">
        <v>71.2489999999998</v>
      </c>
      <c r="Q85" s="747">
        <f t="shared" si="2"/>
        <v>1161.121</v>
      </c>
      <c r="R85" s="1359"/>
      <c r="S85" s="1361"/>
    </row>
    <row r="86" spans="1:19" ht="13.5" customHeight="1">
      <c r="A86" s="1036" t="s">
        <v>220</v>
      </c>
      <c r="B86" s="175">
        <v>0.25</v>
      </c>
      <c r="C86" s="1819"/>
      <c r="D86" s="177" t="s">
        <v>202</v>
      </c>
      <c r="E86" s="552">
        <v>113.19311999999998</v>
      </c>
      <c r="F86" s="552">
        <v>88.34963999999992</v>
      </c>
      <c r="G86" s="552">
        <v>97.14648000000001</v>
      </c>
      <c r="H86" s="552">
        <v>120.83196000000011</v>
      </c>
      <c r="I86" s="552">
        <v>75.38184000000008</v>
      </c>
      <c r="J86" s="552">
        <v>30.36047999999988</v>
      </c>
      <c r="K86" s="552">
        <v>0</v>
      </c>
      <c r="L86" s="552">
        <v>0</v>
      </c>
      <c r="M86" s="928">
        <v>0</v>
      </c>
      <c r="N86" s="928">
        <v>0</v>
      </c>
      <c r="O86" s="929">
        <v>25.683240000000005</v>
      </c>
      <c r="P86" s="929">
        <v>70.17935999999995</v>
      </c>
      <c r="Q86" s="747">
        <f t="shared" si="2"/>
        <v>621.1261199999999</v>
      </c>
      <c r="R86" s="1358"/>
      <c r="S86" s="1361"/>
    </row>
    <row r="87" spans="1:19" ht="13.5" customHeight="1">
      <c r="A87" s="1036" t="s">
        <v>221</v>
      </c>
      <c r="B87" s="175">
        <v>0.7</v>
      </c>
      <c r="C87" s="1819"/>
      <c r="D87" s="177" t="s">
        <v>202</v>
      </c>
      <c r="E87" s="552">
        <v>174.86000000000058</v>
      </c>
      <c r="F87" s="552">
        <v>70.10999999999876</v>
      </c>
      <c r="G87" s="552">
        <v>76.04910000000018</v>
      </c>
      <c r="H87" s="552">
        <v>225.7542999999996</v>
      </c>
      <c r="I87" s="659">
        <v>272.97250000000076</v>
      </c>
      <c r="J87" s="659">
        <v>182.09899999999925</v>
      </c>
      <c r="K87" s="659">
        <v>116.85649999999987</v>
      </c>
      <c r="L87" s="659">
        <v>82.7447000000011</v>
      </c>
      <c r="M87" s="928">
        <v>35.7821999999996</v>
      </c>
      <c r="N87" s="928">
        <v>16.7338999999993</v>
      </c>
      <c r="O87" s="1039">
        <v>32.77900000000045</v>
      </c>
      <c r="P87" s="1039">
        <v>123.05400000000009</v>
      </c>
      <c r="Q87" s="747">
        <f t="shared" si="2"/>
        <v>1409.7951999999996</v>
      </c>
      <c r="R87" s="1359"/>
      <c r="S87" s="1361"/>
    </row>
    <row r="88" spans="1:19" ht="13.5" customHeight="1">
      <c r="A88" s="1036" t="s">
        <v>222</v>
      </c>
      <c r="B88" s="175">
        <v>1.92</v>
      </c>
      <c r="C88" s="1819"/>
      <c r="D88" s="177" t="s">
        <v>202</v>
      </c>
      <c r="E88" s="552">
        <v>818.0229000000018</v>
      </c>
      <c r="F88" s="552">
        <v>686.2514999999976</v>
      </c>
      <c r="G88" s="552">
        <v>732.2925000000023</v>
      </c>
      <c r="H88" s="552">
        <v>690.3179999999993</v>
      </c>
      <c r="I88" s="552">
        <v>612.5582999999997</v>
      </c>
      <c r="J88" s="552">
        <v>455.3318999999992</v>
      </c>
      <c r="K88" s="552">
        <v>152.5371</v>
      </c>
      <c r="L88" s="552">
        <v>0</v>
      </c>
      <c r="M88" s="928">
        <v>253.32390000000126</v>
      </c>
      <c r="N88" s="928">
        <v>370.53420000000096</v>
      </c>
      <c r="O88" s="1039">
        <v>414.7502999999979</v>
      </c>
      <c r="P88" s="1039">
        <v>704.9979000000012</v>
      </c>
      <c r="Q88" s="747">
        <f t="shared" si="2"/>
        <v>5890.918500000002</v>
      </c>
      <c r="R88" s="1358"/>
      <c r="S88" s="1361"/>
    </row>
    <row r="89" spans="1:19" ht="13.5" customHeight="1">
      <c r="A89" s="1036" t="s">
        <v>223</v>
      </c>
      <c r="B89" s="175">
        <v>0.2</v>
      </c>
      <c r="C89" s="1819"/>
      <c r="D89" s="177" t="s">
        <v>202</v>
      </c>
      <c r="E89" s="552">
        <v>136.39300000000003</v>
      </c>
      <c r="F89" s="552">
        <v>100.72299999999996</v>
      </c>
      <c r="G89" s="552">
        <v>115.90800000000002</v>
      </c>
      <c r="H89" s="552">
        <v>129.49199999999996</v>
      </c>
      <c r="I89" s="552">
        <v>113.76300000000003</v>
      </c>
      <c r="J89" s="552">
        <v>56.03699999999992</v>
      </c>
      <c r="K89" s="552">
        <v>0</v>
      </c>
      <c r="L89" s="552">
        <v>0</v>
      </c>
      <c r="M89" s="928">
        <v>3.7889999999999873</v>
      </c>
      <c r="N89" s="928">
        <v>22.340000000000146</v>
      </c>
      <c r="O89" s="1039">
        <v>31.14300000000003</v>
      </c>
      <c r="P89" s="1039">
        <v>119.00799999999981</v>
      </c>
      <c r="Q89" s="747">
        <f t="shared" si="2"/>
        <v>828.5959999999999</v>
      </c>
      <c r="R89" s="1359"/>
      <c r="S89" s="1361"/>
    </row>
    <row r="90" spans="1:19" ht="13.5" customHeight="1">
      <c r="A90" s="1036" t="s">
        <v>224</v>
      </c>
      <c r="B90" s="175">
        <v>0.42</v>
      </c>
      <c r="C90" s="1819"/>
      <c r="D90" s="177" t="s">
        <v>211</v>
      </c>
      <c r="E90" s="552">
        <v>52.42691999999995</v>
      </c>
      <c r="F90" s="552">
        <v>39.48635999999998</v>
      </c>
      <c r="G90" s="552">
        <v>45.17688000000024</v>
      </c>
      <c r="H90" s="552">
        <v>66.98771999999997</v>
      </c>
      <c r="I90" s="552">
        <v>73.08587999999989</v>
      </c>
      <c r="J90" s="552">
        <v>63.22655999999988</v>
      </c>
      <c r="K90" s="552">
        <v>72.2856</v>
      </c>
      <c r="L90" s="552">
        <v>72.46919999999999</v>
      </c>
      <c r="M90" s="928">
        <v>37.59456000000006</v>
      </c>
      <c r="N90" s="928">
        <v>57.47160000000004</v>
      </c>
      <c r="O90" s="1039">
        <v>49.47179999999993</v>
      </c>
      <c r="P90" s="1039">
        <v>72.70631999999983</v>
      </c>
      <c r="Q90" s="747">
        <f t="shared" si="2"/>
        <v>702.3893999999998</v>
      </c>
      <c r="R90" s="1358"/>
      <c r="S90" s="1361"/>
    </row>
    <row r="91" spans="1:19" ht="13.5" customHeight="1">
      <c r="A91" s="1036" t="s">
        <v>225</v>
      </c>
      <c r="B91" s="175">
        <v>0.63</v>
      </c>
      <c r="C91" s="1819"/>
      <c r="D91" s="177" t="s">
        <v>202</v>
      </c>
      <c r="E91" s="552">
        <v>173.8347999999987</v>
      </c>
      <c r="F91" s="552">
        <v>86.03500000000167</v>
      </c>
      <c r="G91" s="552">
        <v>64.05499999999847</v>
      </c>
      <c r="H91" s="552">
        <v>234.78650000000036</v>
      </c>
      <c r="I91" s="552">
        <v>206.39000000000004</v>
      </c>
      <c r="J91" s="552">
        <v>95.33499999999998</v>
      </c>
      <c r="K91" s="552">
        <v>19.66</v>
      </c>
      <c r="L91" s="630">
        <v>0.07299999999997908</v>
      </c>
      <c r="M91" s="928">
        <v>18.58299999999997</v>
      </c>
      <c r="N91" s="928">
        <v>22.956999999999994</v>
      </c>
      <c r="O91" s="1039">
        <v>45.885000000000105</v>
      </c>
      <c r="P91" s="1039">
        <v>152.85899999999992</v>
      </c>
      <c r="Q91" s="747">
        <f t="shared" si="2"/>
        <v>1120.4532999999992</v>
      </c>
      <c r="R91" s="1359"/>
      <c r="S91" s="1361"/>
    </row>
    <row r="92" spans="1:19" ht="13.5" customHeight="1">
      <c r="A92" s="1036" t="s">
        <v>226</v>
      </c>
      <c r="B92" s="175">
        <v>0.25</v>
      </c>
      <c r="C92" s="1819"/>
      <c r="D92" s="177" t="s">
        <v>211</v>
      </c>
      <c r="E92" s="552">
        <v>121.01892</v>
      </c>
      <c r="F92" s="552">
        <v>91.09932</v>
      </c>
      <c r="G92" s="552">
        <v>115.73123999999996</v>
      </c>
      <c r="H92" s="552">
        <v>109.58904000000003</v>
      </c>
      <c r="I92" s="552">
        <v>68.59763999999988</v>
      </c>
      <c r="J92" s="552">
        <v>59.24112000000016</v>
      </c>
      <c r="K92" s="552">
        <v>44.825160000000004</v>
      </c>
      <c r="L92" s="552">
        <v>15.201960000000108</v>
      </c>
      <c r="M92" s="928">
        <v>19.871879999999802</v>
      </c>
      <c r="N92" s="928">
        <v>36.214199999999984</v>
      </c>
      <c r="O92" s="1039">
        <v>27.66827999999994</v>
      </c>
      <c r="P92" s="1039">
        <v>35.69736000000034</v>
      </c>
      <c r="Q92" s="747">
        <f t="shared" si="2"/>
        <v>744.7561200000002</v>
      </c>
      <c r="R92" s="1358"/>
      <c r="S92" s="1361"/>
    </row>
    <row r="93" spans="1:19" ht="13.5" customHeight="1">
      <c r="A93" s="1036" t="s">
        <v>227</v>
      </c>
      <c r="B93" s="175">
        <v>0.38</v>
      </c>
      <c r="C93" s="1819"/>
      <c r="D93" s="177" t="s">
        <v>228</v>
      </c>
      <c r="E93" s="552">
        <v>31.77444000000003</v>
      </c>
      <c r="F93" s="552">
        <v>87.26555999999997</v>
      </c>
      <c r="G93" s="552">
        <v>90.86135999999999</v>
      </c>
      <c r="H93" s="552">
        <v>68.64743999999999</v>
      </c>
      <c r="I93" s="552">
        <v>42.463320000000095</v>
      </c>
      <c r="J93" s="552">
        <v>24.759959999999847</v>
      </c>
      <c r="K93" s="552">
        <v>19.80348</v>
      </c>
      <c r="L93" s="552">
        <v>1.6971600000000036</v>
      </c>
      <c r="M93" s="928">
        <v>0</v>
      </c>
      <c r="N93" s="928">
        <v>0</v>
      </c>
      <c r="O93" s="1039">
        <v>27.087359999999897</v>
      </c>
      <c r="P93" s="1039">
        <v>84.6154800000001</v>
      </c>
      <c r="Q93" s="747">
        <f t="shared" si="2"/>
        <v>478.9755599999999</v>
      </c>
      <c r="R93" s="1359"/>
      <c r="S93" s="1361"/>
    </row>
    <row r="94" spans="1:19" ht="13.5" customHeight="1">
      <c r="A94" s="1036" t="s">
        <v>229</v>
      </c>
      <c r="B94" s="175">
        <v>1.2</v>
      </c>
      <c r="C94" s="1819"/>
      <c r="D94" s="177" t="s">
        <v>202</v>
      </c>
      <c r="E94" s="552">
        <v>322.1319999999996</v>
      </c>
      <c r="F94" s="552">
        <v>298.5120000000006</v>
      </c>
      <c r="G94" s="552">
        <v>357.637999999999</v>
      </c>
      <c r="H94" s="552">
        <v>632.0519999999997</v>
      </c>
      <c r="I94" s="552">
        <v>601.5160000000014</v>
      </c>
      <c r="J94" s="552">
        <v>192.2939999999999</v>
      </c>
      <c r="K94" s="552">
        <v>37.423999999999765</v>
      </c>
      <c r="L94" s="552">
        <v>0</v>
      </c>
      <c r="M94" s="928">
        <v>6.094000000000001</v>
      </c>
      <c r="N94" s="928">
        <v>68.904</v>
      </c>
      <c r="O94" s="1039">
        <v>192.95999999999998</v>
      </c>
      <c r="P94" s="1039">
        <v>428.36800000000005</v>
      </c>
      <c r="Q94" s="747">
        <f t="shared" si="2"/>
        <v>3137.8940000000002</v>
      </c>
      <c r="R94" s="1358"/>
      <c r="S94" s="1361"/>
    </row>
    <row r="95" spans="1:19" ht="13.5" customHeight="1">
      <c r="A95" s="1036" t="s">
        <v>230</v>
      </c>
      <c r="B95" s="175">
        <v>0.25</v>
      </c>
      <c r="C95" s="1819"/>
      <c r="D95" s="177" t="s">
        <v>211</v>
      </c>
      <c r="E95" s="552">
        <v>92.47487999999997</v>
      </c>
      <c r="F95" s="552">
        <v>76.0666799999999</v>
      </c>
      <c r="G95" s="552">
        <v>98.22216</v>
      </c>
      <c r="H95" s="552">
        <v>71.23236000000011</v>
      </c>
      <c r="I95" s="552">
        <v>69.52895999999993</v>
      </c>
      <c r="J95" s="552">
        <v>1.4020799999999145</v>
      </c>
      <c r="K95" s="552">
        <v>0</v>
      </c>
      <c r="L95" s="552">
        <v>0</v>
      </c>
      <c r="M95" s="928">
        <v>68.45712000000007</v>
      </c>
      <c r="N95" s="928">
        <v>52.03283999999999</v>
      </c>
      <c r="O95" s="1039">
        <v>58.34447999999997</v>
      </c>
      <c r="P95" s="1039">
        <v>64.26576000000009</v>
      </c>
      <c r="Q95" s="747">
        <f t="shared" si="2"/>
        <v>652.02732</v>
      </c>
      <c r="R95" s="1359"/>
      <c r="S95" s="1361"/>
    </row>
    <row r="96" spans="1:19" ht="13.5" customHeight="1">
      <c r="A96" s="1036" t="s">
        <v>231</v>
      </c>
      <c r="B96" s="175">
        <v>1.02</v>
      </c>
      <c r="C96" s="1819"/>
      <c r="D96" s="177" t="s">
        <v>202</v>
      </c>
      <c r="E96" s="552">
        <v>457.46340000000237</v>
      </c>
      <c r="F96" s="552">
        <v>293.9684999999991</v>
      </c>
      <c r="G96" s="552">
        <v>409.2321000000011</v>
      </c>
      <c r="H96" s="552">
        <v>478.34909999999763</v>
      </c>
      <c r="I96" s="552">
        <v>240.18330000000245</v>
      </c>
      <c r="J96" s="552">
        <v>111.9930000000004</v>
      </c>
      <c r="K96" s="552">
        <v>0</v>
      </c>
      <c r="L96" s="552">
        <v>0</v>
      </c>
      <c r="M96" s="928">
        <v>0</v>
      </c>
      <c r="N96" s="928">
        <v>0</v>
      </c>
      <c r="O96" s="1039">
        <v>53.400299999995696</v>
      </c>
      <c r="P96" s="1039">
        <v>169.3155000000006</v>
      </c>
      <c r="Q96" s="747">
        <f t="shared" si="2"/>
        <v>2213.9051999999992</v>
      </c>
      <c r="R96" s="1358"/>
      <c r="S96" s="1361"/>
    </row>
    <row r="97" spans="1:19" ht="13.5" customHeight="1">
      <c r="A97" s="1036" t="s">
        <v>232</v>
      </c>
      <c r="B97" s="175">
        <v>0.75</v>
      </c>
      <c r="C97" s="1820"/>
      <c r="D97" s="177" t="s">
        <v>202</v>
      </c>
      <c r="E97" s="552">
        <v>0</v>
      </c>
      <c r="F97" s="552">
        <v>0</v>
      </c>
      <c r="G97" s="552">
        <v>0</v>
      </c>
      <c r="H97" s="552">
        <v>13.620999999998276</v>
      </c>
      <c r="I97" s="552">
        <v>140.10800000000017</v>
      </c>
      <c r="J97" s="552">
        <v>17.162000000000262</v>
      </c>
      <c r="K97" s="552">
        <v>0</v>
      </c>
      <c r="L97" s="552">
        <v>0</v>
      </c>
      <c r="M97" s="928">
        <v>80.88400000000183</v>
      </c>
      <c r="N97" s="928">
        <v>43.172999999998865</v>
      </c>
      <c r="O97" s="1039">
        <v>0</v>
      </c>
      <c r="P97" s="1039">
        <v>39.46099999999933</v>
      </c>
      <c r="Q97" s="747">
        <f t="shared" si="2"/>
        <v>334.40899999999874</v>
      </c>
      <c r="R97" s="1358"/>
      <c r="S97" s="1361"/>
    </row>
    <row r="98" spans="1:19" ht="13.5" customHeight="1">
      <c r="A98" s="1036" t="s">
        <v>233</v>
      </c>
      <c r="B98" s="175">
        <v>2.96</v>
      </c>
      <c r="C98" s="1035" t="s">
        <v>234</v>
      </c>
      <c r="D98" s="177" t="s">
        <v>206</v>
      </c>
      <c r="E98" s="329">
        <v>0</v>
      </c>
      <c r="F98" s="329">
        <v>0</v>
      </c>
      <c r="G98" s="329">
        <v>0</v>
      </c>
      <c r="H98" s="552">
        <v>1119.208999999998</v>
      </c>
      <c r="I98" s="659">
        <v>374.77999999999975</v>
      </c>
      <c r="J98" s="659">
        <v>1002.5400000000018</v>
      </c>
      <c r="K98" s="659">
        <v>1250.6340000000018</v>
      </c>
      <c r="L98" s="659">
        <v>1191.0219999999981</v>
      </c>
      <c r="M98" s="552">
        <v>639.1769999999979</v>
      </c>
      <c r="N98" s="552">
        <v>261.303000000001</v>
      </c>
      <c r="O98" s="1041">
        <v>274.57500000000005</v>
      </c>
      <c r="P98" s="1039">
        <v>1449.1750000000002</v>
      </c>
      <c r="Q98" s="747">
        <f t="shared" si="2"/>
        <v>7562.414999999998</v>
      </c>
      <c r="R98" s="1359"/>
      <c r="S98" s="1361"/>
    </row>
    <row r="99" spans="1:19" ht="13.5" customHeight="1">
      <c r="A99" s="1036" t="s">
        <v>235</v>
      </c>
      <c r="B99" s="175">
        <v>2.5</v>
      </c>
      <c r="C99" s="1035" t="s">
        <v>236</v>
      </c>
      <c r="D99" s="177" t="s">
        <v>206</v>
      </c>
      <c r="E99" s="552">
        <v>365.61349999999993</v>
      </c>
      <c r="F99" s="552">
        <v>427.92049999999995</v>
      </c>
      <c r="G99" s="552">
        <v>400.484</v>
      </c>
      <c r="H99" s="552">
        <v>1422.1094999999998</v>
      </c>
      <c r="I99" s="659">
        <v>1214.8885000000005</v>
      </c>
      <c r="J99" s="659">
        <v>449.6100000000001</v>
      </c>
      <c r="K99" s="659">
        <v>20.184</v>
      </c>
      <c r="L99" s="659">
        <v>0</v>
      </c>
      <c r="M99" s="928">
        <v>0</v>
      </c>
      <c r="N99" s="928">
        <v>0</v>
      </c>
      <c r="O99" s="1039">
        <v>275.7265</v>
      </c>
      <c r="P99" s="1039">
        <v>963.3680000000002</v>
      </c>
      <c r="Q99" s="747">
        <f t="shared" si="2"/>
        <v>5539.904500000001</v>
      </c>
      <c r="R99" s="1358"/>
      <c r="S99" s="1361"/>
    </row>
    <row r="100" spans="1:19" ht="13.5" customHeight="1">
      <c r="A100" s="1036" t="s">
        <v>237</v>
      </c>
      <c r="B100" s="175">
        <v>0.57</v>
      </c>
      <c r="C100" s="1035" t="s">
        <v>238</v>
      </c>
      <c r="D100" s="177" t="s">
        <v>202</v>
      </c>
      <c r="E100" s="552">
        <v>205.5</v>
      </c>
      <c r="F100" s="552">
        <v>176.10000000000034</v>
      </c>
      <c r="G100" s="552">
        <v>193</v>
      </c>
      <c r="H100" s="552">
        <v>254.09999999999945</v>
      </c>
      <c r="I100" s="659">
        <v>246.30000000000018</v>
      </c>
      <c r="J100" s="659">
        <v>202.69999999999982</v>
      </c>
      <c r="K100" s="659">
        <v>114.2</v>
      </c>
      <c r="L100" s="659">
        <v>72.60000000000036</v>
      </c>
      <c r="M100" s="928">
        <v>49.600000000000364</v>
      </c>
      <c r="N100" s="928">
        <v>47.19999999999982</v>
      </c>
      <c r="O100" s="1039">
        <v>56.30000000000018</v>
      </c>
      <c r="P100" s="1039">
        <v>157.39999999999966</v>
      </c>
      <c r="Q100" s="747">
        <f t="shared" si="2"/>
        <v>1775.0000000000002</v>
      </c>
      <c r="R100" s="1359"/>
      <c r="S100" s="1361"/>
    </row>
    <row r="101" spans="1:19" ht="13.5" customHeight="1">
      <c r="A101" s="1036" t="s">
        <v>239</v>
      </c>
      <c r="B101" s="175">
        <v>4.6</v>
      </c>
      <c r="C101" s="1803" t="s">
        <v>240</v>
      </c>
      <c r="D101" s="177" t="s">
        <v>241</v>
      </c>
      <c r="E101" s="552">
        <v>1387.2075000000007</v>
      </c>
      <c r="F101" s="552">
        <v>1479.0929999999998</v>
      </c>
      <c r="G101" s="552">
        <v>1443.0254999999993</v>
      </c>
      <c r="H101" s="552">
        <v>2640.718500000001</v>
      </c>
      <c r="I101" s="659">
        <v>1354.5524999999989</v>
      </c>
      <c r="J101" s="659">
        <v>311.6714999999999</v>
      </c>
      <c r="K101" s="659">
        <v>51.576</v>
      </c>
      <c r="L101" s="659">
        <v>0</v>
      </c>
      <c r="M101" s="928">
        <v>0</v>
      </c>
      <c r="N101" s="928">
        <v>0</v>
      </c>
      <c r="O101" s="1039">
        <v>645.7290000000005</v>
      </c>
      <c r="P101" s="1039">
        <v>1741.1415000000009</v>
      </c>
      <c r="Q101" s="747">
        <f t="shared" si="2"/>
        <v>11054.715</v>
      </c>
      <c r="R101" s="1358"/>
      <c r="S101" s="1361"/>
    </row>
    <row r="102" spans="1:19" ht="13.5" customHeight="1">
      <c r="A102" s="1036" t="s">
        <v>242</v>
      </c>
      <c r="B102" s="175">
        <v>3</v>
      </c>
      <c r="C102" s="1803"/>
      <c r="D102" s="177" t="s">
        <v>241</v>
      </c>
      <c r="E102" s="552">
        <v>1234.8447999999999</v>
      </c>
      <c r="F102" s="552">
        <v>1322.2527999999998</v>
      </c>
      <c r="G102" s="552">
        <v>1360.9024000000004</v>
      </c>
      <c r="H102" s="552">
        <v>1976.4807999999998</v>
      </c>
      <c r="I102" s="659">
        <v>1164.52875</v>
      </c>
      <c r="J102" s="659">
        <v>496.82324999999986</v>
      </c>
      <c r="K102" s="659">
        <v>260.27925</v>
      </c>
      <c r="L102" s="659">
        <v>143.56650000000025</v>
      </c>
      <c r="M102" s="928">
        <v>160.02525000000006</v>
      </c>
      <c r="N102" s="928">
        <v>157.59974999999994</v>
      </c>
      <c r="O102" s="1039">
        <v>517.5554999999997</v>
      </c>
      <c r="P102" s="1039">
        <v>1369.1947500000003</v>
      </c>
      <c r="Q102" s="747">
        <f t="shared" si="2"/>
        <v>10164.053799999998</v>
      </c>
      <c r="R102" s="1359"/>
      <c r="S102" s="1361"/>
    </row>
    <row r="103" spans="1:19" ht="13.5" customHeight="1">
      <c r="A103" s="1036" t="s">
        <v>243</v>
      </c>
      <c r="B103" s="175">
        <v>1.95</v>
      </c>
      <c r="C103" s="1035" t="s">
        <v>244</v>
      </c>
      <c r="D103" s="177" t="s">
        <v>211</v>
      </c>
      <c r="E103" s="552">
        <v>374.4648000000001</v>
      </c>
      <c r="F103" s="552">
        <v>236.41199999999807</v>
      </c>
      <c r="G103" s="552">
        <v>193.77839999999998</v>
      </c>
      <c r="H103" s="552">
        <v>611.9759999999995</v>
      </c>
      <c r="I103" s="659">
        <v>336.7584000000017</v>
      </c>
      <c r="J103" s="659">
        <v>73.85999999999913</v>
      </c>
      <c r="K103" s="659">
        <v>0.086</v>
      </c>
      <c r="L103" s="659">
        <v>0</v>
      </c>
      <c r="M103" s="928">
        <v>9.988800000000628</v>
      </c>
      <c r="N103" s="928">
        <v>112.31759999999777</v>
      </c>
      <c r="O103" s="1039">
        <v>236.24639999999926</v>
      </c>
      <c r="P103" s="1039">
        <v>599.4816000000036</v>
      </c>
      <c r="Q103" s="747">
        <f t="shared" si="2"/>
        <v>2785.37</v>
      </c>
      <c r="R103" s="1358"/>
      <c r="S103" s="1361"/>
    </row>
    <row r="104" spans="1:19" ht="13.5" customHeight="1">
      <c r="A104" s="1036" t="s">
        <v>245</v>
      </c>
      <c r="B104" s="175">
        <v>1.5</v>
      </c>
      <c r="C104" s="178" t="s">
        <v>246</v>
      </c>
      <c r="D104" s="179" t="s">
        <v>241</v>
      </c>
      <c r="E104" s="552">
        <v>1169.6342749999983</v>
      </c>
      <c r="F104" s="552">
        <v>1067.001731</v>
      </c>
      <c r="G104" s="552">
        <v>1111.7507420000013</v>
      </c>
      <c r="H104" s="552">
        <v>3541.8409480000005</v>
      </c>
      <c r="I104" s="659">
        <v>3376.437606999999</v>
      </c>
      <c r="J104" s="659">
        <v>1654.135227999998</v>
      </c>
      <c r="K104" s="659">
        <v>755.2859240000007</v>
      </c>
      <c r="L104" s="659">
        <v>487.96276500000187</v>
      </c>
      <c r="M104" s="928">
        <v>465.3591689999981</v>
      </c>
      <c r="N104" s="928">
        <v>635.3443200000008</v>
      </c>
      <c r="O104" s="1039">
        <v>1055.7508420000029</v>
      </c>
      <c r="P104" s="1039">
        <v>2488.6864649999993</v>
      </c>
      <c r="Q104" s="747">
        <f t="shared" si="2"/>
        <v>17809.190016</v>
      </c>
      <c r="R104" s="1359"/>
      <c r="S104" s="1361"/>
    </row>
    <row r="105" spans="1:19" ht="13.5" customHeight="1">
      <c r="A105" s="1036" t="s">
        <v>247</v>
      </c>
      <c r="B105" s="175">
        <v>2.95</v>
      </c>
      <c r="C105" s="178" t="s">
        <v>246</v>
      </c>
      <c r="D105" s="179" t="s">
        <v>241</v>
      </c>
      <c r="E105" s="552">
        <v>461.3770000000004</v>
      </c>
      <c r="F105" s="552">
        <v>460.9150000000002</v>
      </c>
      <c r="G105" s="552">
        <v>430.40199999999913</v>
      </c>
      <c r="H105" s="552">
        <v>1950.6900000000005</v>
      </c>
      <c r="I105" s="659">
        <v>1580.313</v>
      </c>
      <c r="J105" s="659">
        <v>619.0240000000001</v>
      </c>
      <c r="K105" s="659">
        <v>297.0870000000002</v>
      </c>
      <c r="L105" s="659">
        <v>207.305</v>
      </c>
      <c r="M105" s="928">
        <v>192.19899999999902</v>
      </c>
      <c r="N105" s="929">
        <v>203.67200000000003</v>
      </c>
      <c r="O105" s="929">
        <v>384.691999999999</v>
      </c>
      <c r="P105" s="929">
        <v>1142.708000000001</v>
      </c>
      <c r="Q105" s="747">
        <f t="shared" si="2"/>
        <v>7930.384</v>
      </c>
      <c r="R105" s="1358"/>
      <c r="S105" s="1361"/>
    </row>
    <row r="106" spans="1:19" ht="13.5" customHeight="1">
      <c r="A106" s="1036" t="s">
        <v>248</v>
      </c>
      <c r="B106" s="175">
        <v>3.27</v>
      </c>
      <c r="C106" s="178" t="s">
        <v>246</v>
      </c>
      <c r="D106" s="179" t="s">
        <v>241</v>
      </c>
      <c r="E106" s="552">
        <v>502.09599999999966</v>
      </c>
      <c r="F106" s="552">
        <v>501.7040000000002</v>
      </c>
      <c r="G106" s="552">
        <v>451.90599999999995</v>
      </c>
      <c r="H106" s="552">
        <v>2179.0090000000005</v>
      </c>
      <c r="I106" s="659">
        <v>1743.938</v>
      </c>
      <c r="J106" s="659">
        <v>681.2750000000003</v>
      </c>
      <c r="K106" s="659">
        <v>330.1830000000007</v>
      </c>
      <c r="L106" s="659">
        <v>222.4319999999989</v>
      </c>
      <c r="M106" s="928">
        <v>218.47000000000025</v>
      </c>
      <c r="N106" s="929">
        <v>225.00800000000004</v>
      </c>
      <c r="O106" s="929">
        <v>427.72099999999887</v>
      </c>
      <c r="P106" s="929">
        <v>1269.5270000000023</v>
      </c>
      <c r="Q106" s="747">
        <f t="shared" si="2"/>
        <v>8753.269000000002</v>
      </c>
      <c r="R106" s="1359"/>
      <c r="S106" s="1361"/>
    </row>
    <row r="107" spans="1:19" ht="13.5" customHeight="1">
      <c r="A107" s="1036" t="s">
        <v>249</v>
      </c>
      <c r="B107" s="175">
        <v>2.68</v>
      </c>
      <c r="C107" s="1803" t="s">
        <v>250</v>
      </c>
      <c r="D107" s="177" t="s">
        <v>202</v>
      </c>
      <c r="E107" s="552">
        <v>983.0399999999966</v>
      </c>
      <c r="F107" s="552">
        <v>912</v>
      </c>
      <c r="G107" s="552">
        <v>1229.2800000000018</v>
      </c>
      <c r="H107" s="552">
        <v>1855.6800000000019</v>
      </c>
      <c r="I107" s="659">
        <v>341.27999999999736</v>
      </c>
      <c r="J107" s="659">
        <v>162.528</v>
      </c>
      <c r="K107" s="659">
        <v>35.544</v>
      </c>
      <c r="L107" s="659">
        <v>78.66720000000004</v>
      </c>
      <c r="M107" s="928">
        <v>122.064</v>
      </c>
      <c r="N107" s="928">
        <v>194.6448</v>
      </c>
      <c r="O107" s="1039">
        <v>788.7552000000002</v>
      </c>
      <c r="P107" s="1039">
        <v>2029.2384000000002</v>
      </c>
      <c r="Q107" s="747">
        <f t="shared" si="2"/>
        <v>8732.721599999997</v>
      </c>
      <c r="R107" s="1358"/>
      <c r="S107" s="1361"/>
    </row>
    <row r="108" spans="1:19" ht="13.5" customHeight="1">
      <c r="A108" s="1036" t="s">
        <v>251</v>
      </c>
      <c r="B108" s="175">
        <v>1</v>
      </c>
      <c r="C108" s="1803"/>
      <c r="D108" s="177" t="s">
        <v>202</v>
      </c>
      <c r="E108" s="552">
        <v>543.8400000000009</v>
      </c>
      <c r="F108" s="552">
        <v>478.07999999999953</v>
      </c>
      <c r="G108" s="552">
        <v>708.9600000000013</v>
      </c>
      <c r="H108" s="552">
        <v>1093.2</v>
      </c>
      <c r="I108" s="659">
        <v>191.51999999999825</v>
      </c>
      <c r="J108" s="659">
        <v>90.0984</v>
      </c>
      <c r="K108" s="659">
        <v>18.252</v>
      </c>
      <c r="L108" s="659">
        <v>40.1592</v>
      </c>
      <c r="M108" s="928">
        <v>65.76000000000003</v>
      </c>
      <c r="N108" s="928">
        <v>114.22319999999996</v>
      </c>
      <c r="O108" s="1039">
        <v>452.03520000000003</v>
      </c>
      <c r="P108" s="1039">
        <v>1183.8744000000002</v>
      </c>
      <c r="Q108" s="747">
        <f t="shared" si="2"/>
        <v>4980.002399999999</v>
      </c>
      <c r="R108" s="1359"/>
      <c r="S108" s="1361"/>
    </row>
    <row r="109" spans="1:19" ht="13.5" customHeight="1">
      <c r="A109" s="1036" t="s">
        <v>252</v>
      </c>
      <c r="B109" s="175">
        <v>0.2</v>
      </c>
      <c r="C109" s="1035" t="s">
        <v>253</v>
      </c>
      <c r="D109" s="177" t="s">
        <v>202</v>
      </c>
      <c r="E109" s="552">
        <v>67.17200000000011</v>
      </c>
      <c r="F109" s="552">
        <v>60.5551999999997</v>
      </c>
      <c r="G109" s="552">
        <v>87.98679999999999</v>
      </c>
      <c r="H109" s="552">
        <v>122.12680000000003</v>
      </c>
      <c r="I109" s="659">
        <v>56.02999999999997</v>
      </c>
      <c r="J109" s="659">
        <v>25.19680000000003</v>
      </c>
      <c r="K109" s="659">
        <v>12.516799999999966</v>
      </c>
      <c r="L109" s="659">
        <v>7.5876000000000206</v>
      </c>
      <c r="M109" s="928">
        <v>5.7431999999999785</v>
      </c>
      <c r="N109" s="928">
        <v>6.5532000000000155</v>
      </c>
      <c r="O109" s="1039">
        <v>6.938799999999992</v>
      </c>
      <c r="P109" s="1039">
        <v>15.074400000000015</v>
      </c>
      <c r="Q109" s="747">
        <f t="shared" si="2"/>
        <v>473.4815999999999</v>
      </c>
      <c r="R109" s="1358"/>
      <c r="S109" s="1361"/>
    </row>
    <row r="110" spans="1:19" ht="13.5" customHeight="1">
      <c r="A110" s="1036" t="s">
        <v>254</v>
      </c>
      <c r="B110" s="175">
        <v>0.3</v>
      </c>
      <c r="C110" s="1035" t="s">
        <v>255</v>
      </c>
      <c r="D110" s="177" t="s">
        <v>202</v>
      </c>
      <c r="E110" s="552">
        <v>73.67400000000052</v>
      </c>
      <c r="F110" s="552">
        <v>64.17599999999948</v>
      </c>
      <c r="G110" s="552">
        <v>64.41600000000051</v>
      </c>
      <c r="H110" s="552">
        <v>154.188</v>
      </c>
      <c r="I110" s="659">
        <v>31.691999999999997</v>
      </c>
      <c r="J110" s="659">
        <v>0</v>
      </c>
      <c r="K110" s="659">
        <v>0</v>
      </c>
      <c r="L110" s="659">
        <v>0</v>
      </c>
      <c r="M110" s="928">
        <v>0</v>
      </c>
      <c r="N110" s="928">
        <v>0</v>
      </c>
      <c r="O110" s="1039">
        <v>13.716000000000006</v>
      </c>
      <c r="P110" s="1039">
        <v>64.86599999999997</v>
      </c>
      <c r="Q110" s="747">
        <f t="shared" si="2"/>
        <v>466.7280000000005</v>
      </c>
      <c r="R110" s="1359"/>
      <c r="S110" s="1361"/>
    </row>
    <row r="111" spans="1:19" ht="13.5" customHeight="1">
      <c r="A111" s="1036" t="s">
        <v>256</v>
      </c>
      <c r="B111" s="175">
        <v>3.43</v>
      </c>
      <c r="C111" s="1035" t="s">
        <v>257</v>
      </c>
      <c r="D111" s="177" t="s">
        <v>241</v>
      </c>
      <c r="E111" s="552">
        <v>1076.169999999998</v>
      </c>
      <c r="F111" s="552">
        <v>849.9900000000052</v>
      </c>
      <c r="G111" s="552">
        <v>743.2200000000012</v>
      </c>
      <c r="H111" s="552">
        <v>2174.3899999999994</v>
      </c>
      <c r="I111" s="659">
        <v>1012.7100000000064</v>
      </c>
      <c r="J111" s="659">
        <v>182.56999999999243</v>
      </c>
      <c r="K111" s="659">
        <v>0</v>
      </c>
      <c r="L111" s="659">
        <v>0</v>
      </c>
      <c r="M111" s="928">
        <v>284.9499999999971</v>
      </c>
      <c r="N111" s="928">
        <v>842.2400000000052</v>
      </c>
      <c r="O111" s="1039">
        <v>978.670000000003</v>
      </c>
      <c r="P111" s="1039">
        <v>1578.115</v>
      </c>
      <c r="Q111" s="747">
        <f t="shared" si="2"/>
        <v>9723.025000000009</v>
      </c>
      <c r="R111" s="1358"/>
      <c r="S111" s="1361"/>
    </row>
    <row r="112" spans="1:19" ht="13.5" customHeight="1">
      <c r="A112" s="1036" t="s">
        <v>258</v>
      </c>
      <c r="B112" s="175">
        <v>0.25</v>
      </c>
      <c r="C112" s="1035" t="s">
        <v>259</v>
      </c>
      <c r="D112" s="177" t="s">
        <v>211</v>
      </c>
      <c r="E112" s="552">
        <v>40.099199999999925</v>
      </c>
      <c r="F112" s="552">
        <v>32.2848</v>
      </c>
      <c r="G112" s="552">
        <v>35.174400000000155</v>
      </c>
      <c r="H112" s="552">
        <v>45.13020000000005</v>
      </c>
      <c r="I112" s="659">
        <v>30.702599999999894</v>
      </c>
      <c r="J112" s="659">
        <v>16.22340000000013</v>
      </c>
      <c r="K112" s="659">
        <v>2.9076</v>
      </c>
      <c r="L112" s="659">
        <v>0.15900000000019646</v>
      </c>
      <c r="M112" s="928">
        <v>0.1649999999997817</v>
      </c>
      <c r="N112" s="928">
        <v>0.9114000000001397</v>
      </c>
      <c r="O112" s="1039">
        <v>5.757600000000002</v>
      </c>
      <c r="P112" s="1039">
        <v>38.635200000000175</v>
      </c>
      <c r="Q112" s="747">
        <f t="shared" si="2"/>
        <v>248.15040000000047</v>
      </c>
      <c r="R112" s="1359"/>
      <c r="S112" s="1361"/>
    </row>
    <row r="113" spans="1:19" ht="13.5" customHeight="1">
      <c r="A113" s="1036" t="s">
        <v>260</v>
      </c>
      <c r="B113" s="175">
        <v>12.3</v>
      </c>
      <c r="C113" s="1035" t="s">
        <v>261</v>
      </c>
      <c r="D113" s="177" t="s">
        <v>241</v>
      </c>
      <c r="E113" s="552">
        <v>3533.4599999999955</v>
      </c>
      <c r="F113" s="552">
        <v>3461.3040000000015</v>
      </c>
      <c r="G113" s="552">
        <v>2989.4759999999887</v>
      </c>
      <c r="H113" s="552">
        <v>6731.760000000001</v>
      </c>
      <c r="I113" s="659">
        <v>6560.735999999999</v>
      </c>
      <c r="J113" s="659">
        <v>3337.152000000001</v>
      </c>
      <c r="K113" s="659">
        <v>993.3839999999994</v>
      </c>
      <c r="L113" s="659">
        <v>378.4199999999996</v>
      </c>
      <c r="M113" s="928">
        <v>989.2679999999989</v>
      </c>
      <c r="N113" s="928">
        <v>1242.6120000000005</v>
      </c>
      <c r="O113" s="1039">
        <v>2538.0600000000027</v>
      </c>
      <c r="P113" s="1039">
        <v>5486.795999999997</v>
      </c>
      <c r="Q113" s="747">
        <f t="shared" si="2"/>
        <v>38242.427999999985</v>
      </c>
      <c r="R113" s="1358"/>
      <c r="S113" s="1361"/>
    </row>
    <row r="114" spans="1:19" ht="13.5" customHeight="1">
      <c r="A114" s="1036" t="s">
        <v>262</v>
      </c>
      <c r="B114" s="175">
        <v>14.2</v>
      </c>
      <c r="C114" s="1035" t="s">
        <v>263</v>
      </c>
      <c r="D114" s="177" t="s">
        <v>241</v>
      </c>
      <c r="E114" s="552">
        <v>2303.5599999999995</v>
      </c>
      <c r="F114" s="552">
        <v>3431.959999999998</v>
      </c>
      <c r="G114" s="552">
        <v>2849.2799999999997</v>
      </c>
      <c r="H114" s="552">
        <v>8098.160000000007</v>
      </c>
      <c r="I114" s="659">
        <v>4662.5599999999995</v>
      </c>
      <c r="J114" s="659">
        <v>871.9199999999964</v>
      </c>
      <c r="K114" s="659">
        <v>151.48</v>
      </c>
      <c r="L114" s="659">
        <v>53.20000000000255</v>
      </c>
      <c r="M114" s="928">
        <v>686.5599999999995</v>
      </c>
      <c r="N114" s="928">
        <v>1364.4400000000005</v>
      </c>
      <c r="O114" s="1039">
        <v>3109.9600000000046</v>
      </c>
      <c r="P114" s="1039">
        <v>5061.279999999993</v>
      </c>
      <c r="Q114" s="747">
        <f t="shared" si="2"/>
        <v>32644.36</v>
      </c>
      <c r="R114" s="1359"/>
      <c r="S114" s="1361"/>
    </row>
    <row r="115" spans="1:19" ht="13.5" customHeight="1">
      <c r="A115" s="1036" t="s">
        <v>264</v>
      </c>
      <c r="B115" s="175">
        <v>0.15</v>
      </c>
      <c r="C115" s="178" t="s">
        <v>265</v>
      </c>
      <c r="D115" s="177" t="s">
        <v>211</v>
      </c>
      <c r="E115" s="552">
        <v>16.2</v>
      </c>
      <c r="F115" s="552">
        <v>30.17999999999997</v>
      </c>
      <c r="G115" s="552">
        <v>28.92000000000003</v>
      </c>
      <c r="H115" s="552">
        <v>25.979999999999972</v>
      </c>
      <c r="I115" s="659">
        <v>0</v>
      </c>
      <c r="J115" s="659">
        <v>0</v>
      </c>
      <c r="K115" s="659">
        <v>0</v>
      </c>
      <c r="L115" s="659">
        <v>0</v>
      </c>
      <c r="M115" s="928">
        <v>0</v>
      </c>
      <c r="N115" s="928">
        <v>0</v>
      </c>
      <c r="O115" s="1039">
        <v>16.5</v>
      </c>
      <c r="P115" s="1039">
        <v>7.0799999999999725</v>
      </c>
      <c r="Q115" s="747">
        <f t="shared" si="2"/>
        <v>124.85999999999994</v>
      </c>
      <c r="R115" s="1358"/>
      <c r="S115" s="1361"/>
    </row>
    <row r="116" spans="1:19" ht="13.5" customHeight="1">
      <c r="A116" s="1036" t="s">
        <v>266</v>
      </c>
      <c r="B116" s="175">
        <v>6.4</v>
      </c>
      <c r="C116" s="1035" t="s">
        <v>267</v>
      </c>
      <c r="D116" s="180" t="s">
        <v>241</v>
      </c>
      <c r="E116" s="552">
        <v>863.4778</v>
      </c>
      <c r="F116" s="552">
        <v>733.5140000000002</v>
      </c>
      <c r="G116" s="552">
        <v>840.3624</v>
      </c>
      <c r="H116" s="552">
        <v>3719.4894</v>
      </c>
      <c r="I116" s="659">
        <v>3122.7564</v>
      </c>
      <c r="J116" s="659">
        <v>610.28</v>
      </c>
      <c r="K116" s="659">
        <v>132.2286</v>
      </c>
      <c r="L116" s="659">
        <v>74.32800000000012</v>
      </c>
      <c r="M116" s="928">
        <v>346.6702000000006</v>
      </c>
      <c r="N116" s="928">
        <v>948.7497999999996</v>
      </c>
      <c r="O116" s="1039">
        <v>1440.2988000000003</v>
      </c>
      <c r="P116" s="1039">
        <v>2215.289800000001</v>
      </c>
      <c r="Q116" s="747">
        <f t="shared" si="2"/>
        <v>15047.445200000002</v>
      </c>
      <c r="R116" s="1359"/>
      <c r="S116" s="1361"/>
    </row>
    <row r="117" spans="1:19" ht="13.5" customHeight="1">
      <c r="A117" s="1036" t="s">
        <v>268</v>
      </c>
      <c r="B117" s="175">
        <v>1</v>
      </c>
      <c r="C117" s="1803" t="s">
        <v>269</v>
      </c>
      <c r="D117" s="181">
        <v>10</v>
      </c>
      <c r="E117" s="552">
        <v>343.9379999999999</v>
      </c>
      <c r="F117" s="552">
        <v>384.8309999999994</v>
      </c>
      <c r="G117" s="552">
        <v>240.71099999999956</v>
      </c>
      <c r="H117" s="552">
        <v>680.091000000001</v>
      </c>
      <c r="I117" s="659">
        <v>273.66299999999865</v>
      </c>
      <c r="J117" s="659">
        <v>0.10500000000092768</v>
      </c>
      <c r="K117" s="659">
        <v>0</v>
      </c>
      <c r="L117" s="659">
        <v>0</v>
      </c>
      <c r="M117" s="928">
        <v>49.4340000000002</v>
      </c>
      <c r="N117" s="928">
        <v>119.29799999999955</v>
      </c>
      <c r="O117" s="1039">
        <v>249.4829999999999</v>
      </c>
      <c r="P117" s="1039">
        <v>451.536</v>
      </c>
      <c r="Q117" s="747">
        <f t="shared" si="2"/>
        <v>2793.089999999999</v>
      </c>
      <c r="R117" s="1358"/>
      <c r="S117" s="1361"/>
    </row>
    <row r="118" spans="1:19" ht="13.5" customHeight="1">
      <c r="A118" s="1036" t="s">
        <v>270</v>
      </c>
      <c r="B118" s="175">
        <v>0.28</v>
      </c>
      <c r="C118" s="1803"/>
      <c r="D118" s="177" t="s">
        <v>202</v>
      </c>
      <c r="E118" s="552">
        <v>248.71500000000057</v>
      </c>
      <c r="F118" s="552">
        <v>230.40449999999942</v>
      </c>
      <c r="G118" s="552">
        <v>217.92900000000077</v>
      </c>
      <c r="H118" s="552">
        <v>268.19699999999966</v>
      </c>
      <c r="I118" s="659">
        <v>182.8094999999994</v>
      </c>
      <c r="J118" s="659">
        <v>6.467999999999847</v>
      </c>
      <c r="K118" s="659">
        <v>0</v>
      </c>
      <c r="L118" s="659">
        <v>0</v>
      </c>
      <c r="M118" s="928">
        <v>42.4680000000005</v>
      </c>
      <c r="N118" s="928">
        <v>111.54750000000037</v>
      </c>
      <c r="O118" s="1039">
        <v>104.00400000000036</v>
      </c>
      <c r="P118" s="1039">
        <v>251.710499999999</v>
      </c>
      <c r="Q118" s="747">
        <f t="shared" si="2"/>
        <v>1664.253</v>
      </c>
      <c r="R118" s="1359"/>
      <c r="S118" s="1361"/>
    </row>
    <row r="119" spans="1:19" ht="13.5" customHeight="1">
      <c r="A119" s="1036" t="s">
        <v>271</v>
      </c>
      <c r="B119" s="175">
        <v>0.6</v>
      </c>
      <c r="C119" s="178" t="s">
        <v>272</v>
      </c>
      <c r="D119" s="177" t="s">
        <v>202</v>
      </c>
      <c r="E119" s="552">
        <v>310.2329999999988</v>
      </c>
      <c r="F119" s="552">
        <v>405.21600000000035</v>
      </c>
      <c r="G119" s="552">
        <v>226.76700000000116</v>
      </c>
      <c r="H119" s="552">
        <v>564.5849999999978</v>
      </c>
      <c r="I119" s="659">
        <v>164.19300000000203</v>
      </c>
      <c r="J119" s="659">
        <v>0</v>
      </c>
      <c r="K119" s="659">
        <v>0</v>
      </c>
      <c r="L119" s="659">
        <v>0</v>
      </c>
      <c r="M119" s="928">
        <v>278.08499999999776</v>
      </c>
      <c r="N119" s="928">
        <v>119.70900000000074</v>
      </c>
      <c r="O119" s="1039">
        <v>372.627</v>
      </c>
      <c r="P119" s="1039">
        <v>634.7340000000002</v>
      </c>
      <c r="Q119" s="747">
        <f t="shared" si="2"/>
        <v>3076.1489999999985</v>
      </c>
      <c r="R119" s="1358"/>
      <c r="S119" s="1361"/>
    </row>
    <row r="120" spans="1:19" ht="13.5" customHeight="1">
      <c r="A120" s="1036" t="s">
        <v>273</v>
      </c>
      <c r="B120" s="175">
        <v>2</v>
      </c>
      <c r="C120" s="1035" t="s">
        <v>274</v>
      </c>
      <c r="D120" s="177" t="s">
        <v>241</v>
      </c>
      <c r="E120" s="552">
        <v>592.35</v>
      </c>
      <c r="F120" s="552">
        <v>467.95799999999997</v>
      </c>
      <c r="G120" s="552">
        <v>356.11800000000005</v>
      </c>
      <c r="H120" s="552">
        <v>1069.2180000000003</v>
      </c>
      <c r="I120" s="659">
        <v>667.2239999999997</v>
      </c>
      <c r="J120" s="659">
        <v>207.11400000000003</v>
      </c>
      <c r="K120" s="659">
        <v>94.41</v>
      </c>
      <c r="L120" s="659">
        <v>62.9879999999996</v>
      </c>
      <c r="M120" s="928">
        <v>0</v>
      </c>
      <c r="N120" s="928">
        <v>0</v>
      </c>
      <c r="O120" s="1039">
        <v>425.5020000000002</v>
      </c>
      <c r="P120" s="1039">
        <v>920.5200000000004</v>
      </c>
      <c r="Q120" s="747">
        <f t="shared" si="2"/>
        <v>4863.402</v>
      </c>
      <c r="R120" s="1359"/>
      <c r="S120" s="1361"/>
    </row>
    <row r="121" spans="1:19" ht="13.5" customHeight="1">
      <c r="A121" s="1036" t="s">
        <v>275</v>
      </c>
      <c r="B121" s="175">
        <v>1.5</v>
      </c>
      <c r="C121" s="1821" t="s">
        <v>276</v>
      </c>
      <c r="D121" s="177" t="s">
        <v>202</v>
      </c>
      <c r="E121" s="552">
        <v>301.8000000000002</v>
      </c>
      <c r="F121" s="552">
        <v>325.1999999999998</v>
      </c>
      <c r="G121" s="552">
        <v>530.6000000000004</v>
      </c>
      <c r="H121" s="552">
        <v>503.8000000000002</v>
      </c>
      <c r="I121" s="659">
        <v>200.59999999999945</v>
      </c>
      <c r="J121" s="659">
        <v>135.80000000000112</v>
      </c>
      <c r="K121" s="659">
        <v>34.6</v>
      </c>
      <c r="L121" s="659">
        <v>0</v>
      </c>
      <c r="M121" s="928">
        <v>16.600000000000364</v>
      </c>
      <c r="N121" s="928">
        <v>40.20000000000073</v>
      </c>
      <c r="O121" s="1039">
        <v>125</v>
      </c>
      <c r="P121" s="1039">
        <v>284.79999999999933</v>
      </c>
      <c r="Q121" s="747">
        <f t="shared" si="2"/>
        <v>2499.0000000000014</v>
      </c>
      <c r="R121" s="1358"/>
      <c r="S121" s="1361"/>
    </row>
    <row r="122" spans="1:19" ht="13.5" customHeight="1">
      <c r="A122" s="1036" t="s">
        <v>277</v>
      </c>
      <c r="B122" s="175">
        <v>1.2</v>
      </c>
      <c r="C122" s="1822"/>
      <c r="D122" s="177" t="s">
        <v>202</v>
      </c>
      <c r="E122" s="552">
        <v>927.9439999999995</v>
      </c>
      <c r="F122" s="552">
        <v>1123.6640000000007</v>
      </c>
      <c r="G122" s="552">
        <v>1502.1359999999986</v>
      </c>
      <c r="H122" s="552">
        <v>1688.296000000002</v>
      </c>
      <c r="I122" s="659">
        <v>817.0399999999972</v>
      </c>
      <c r="J122" s="659">
        <v>248.56800000000294</v>
      </c>
      <c r="K122" s="659">
        <v>16.992</v>
      </c>
      <c r="L122" s="659">
        <v>29.959999999999127</v>
      </c>
      <c r="M122" s="928">
        <v>8.024000000001251</v>
      </c>
      <c r="N122" s="928">
        <v>78.9039999999986</v>
      </c>
      <c r="O122" s="1039">
        <v>559.2720000000008</v>
      </c>
      <c r="P122" s="1039">
        <v>804.0560000000005</v>
      </c>
      <c r="Q122" s="747">
        <f t="shared" si="2"/>
        <v>7804.856000000002</v>
      </c>
      <c r="R122" s="1359"/>
      <c r="S122" s="1361"/>
    </row>
    <row r="123" spans="1:19" ht="13.5" customHeight="1">
      <c r="A123" s="1036" t="s">
        <v>278</v>
      </c>
      <c r="B123" s="175">
        <v>0.5</v>
      </c>
      <c r="C123" s="1035" t="s">
        <v>279</v>
      </c>
      <c r="D123" s="177" t="s">
        <v>202</v>
      </c>
      <c r="E123" s="552">
        <v>300.6199999999989</v>
      </c>
      <c r="F123" s="552">
        <v>304.25999999999834</v>
      </c>
      <c r="G123" s="552">
        <v>299.26600000000235</v>
      </c>
      <c r="H123" s="552">
        <v>321.77200000000005</v>
      </c>
      <c r="I123" s="659">
        <v>337.495</v>
      </c>
      <c r="J123" s="659">
        <v>223.64199999999994</v>
      </c>
      <c r="K123" s="659">
        <v>91.413</v>
      </c>
      <c r="L123" s="659">
        <v>0</v>
      </c>
      <c r="M123" s="928">
        <v>89.67499999999995</v>
      </c>
      <c r="N123" s="928">
        <v>239.48400000000015</v>
      </c>
      <c r="O123" s="1039">
        <v>262.1809999999998</v>
      </c>
      <c r="P123" s="1039">
        <v>345.35300000000007</v>
      </c>
      <c r="Q123" s="747">
        <f t="shared" si="2"/>
        <v>2815.160999999999</v>
      </c>
      <c r="R123" s="1358"/>
      <c r="S123" s="1361"/>
    </row>
    <row r="124" spans="1:19" ht="13.5" customHeight="1">
      <c r="A124" s="1036" t="s">
        <v>280</v>
      </c>
      <c r="B124" s="175">
        <v>3.2</v>
      </c>
      <c r="C124" s="1035" t="s">
        <v>281</v>
      </c>
      <c r="D124" s="177" t="s">
        <v>241</v>
      </c>
      <c r="E124" s="552">
        <v>485.2800000000024</v>
      </c>
      <c r="F124" s="552">
        <v>199.73999999999796</v>
      </c>
      <c r="G124" s="552">
        <v>204.4900000000016</v>
      </c>
      <c r="H124" s="552">
        <v>1662.7199999999975</v>
      </c>
      <c r="I124" s="659">
        <v>565.8600000000006</v>
      </c>
      <c r="J124" s="659">
        <v>73.19000000000233</v>
      </c>
      <c r="K124" s="659">
        <v>2.59</v>
      </c>
      <c r="L124" s="659">
        <v>77.44000000000233</v>
      </c>
      <c r="M124" s="928">
        <v>240.39999999999782</v>
      </c>
      <c r="N124" s="928">
        <v>381.99000000000166</v>
      </c>
      <c r="O124" s="1039">
        <v>540.380000000001</v>
      </c>
      <c r="P124" s="1039">
        <v>957.7799999999988</v>
      </c>
      <c r="Q124" s="747">
        <f t="shared" si="2"/>
        <v>5391.860000000004</v>
      </c>
      <c r="R124" s="1359"/>
      <c r="S124" s="1361"/>
    </row>
    <row r="125" spans="1:19" ht="13.5" customHeight="1">
      <c r="A125" s="1036" t="s">
        <v>282</v>
      </c>
      <c r="B125" s="175">
        <v>3.6</v>
      </c>
      <c r="C125" s="1035" t="s">
        <v>283</v>
      </c>
      <c r="D125" s="177" t="s">
        <v>241</v>
      </c>
      <c r="E125" s="552">
        <v>1152.5760000000028</v>
      </c>
      <c r="F125" s="552">
        <v>1290.8159999999948</v>
      </c>
      <c r="G125" s="552">
        <v>1250.8560000000068</v>
      </c>
      <c r="H125" s="552">
        <v>2428.487999999996</v>
      </c>
      <c r="I125" s="659">
        <v>1263.1680000000006</v>
      </c>
      <c r="J125" s="659">
        <v>398.19599999999883</v>
      </c>
      <c r="K125" s="659">
        <v>88.128</v>
      </c>
      <c r="L125" s="659">
        <v>49.69079999999631</v>
      </c>
      <c r="M125" s="928">
        <v>176.92560000000068</v>
      </c>
      <c r="N125" s="928">
        <v>222.42600000000274</v>
      </c>
      <c r="O125" s="1039">
        <v>727.2719999999966</v>
      </c>
      <c r="P125" s="1039">
        <v>1621.674000000002</v>
      </c>
      <c r="Q125" s="747">
        <f t="shared" si="2"/>
        <v>10670.2164</v>
      </c>
      <c r="R125" s="1358"/>
      <c r="S125" s="1361"/>
    </row>
    <row r="126" spans="1:19" ht="13.5" customHeight="1">
      <c r="A126" s="1036" t="s">
        <v>284</v>
      </c>
      <c r="B126" s="175">
        <v>0.2</v>
      </c>
      <c r="C126" s="1035" t="s">
        <v>285</v>
      </c>
      <c r="D126" s="177" t="s">
        <v>211</v>
      </c>
      <c r="E126" s="552">
        <v>99.23040000000012</v>
      </c>
      <c r="F126" s="552">
        <v>69.15959999999988</v>
      </c>
      <c r="G126" s="552">
        <v>57.42287999999987</v>
      </c>
      <c r="H126" s="552">
        <v>46.92312</v>
      </c>
      <c r="I126" s="659">
        <v>42.42240000000001</v>
      </c>
      <c r="J126" s="659">
        <v>29.852639999999994</v>
      </c>
      <c r="K126" s="659">
        <v>19.62036</v>
      </c>
      <c r="L126" s="659">
        <v>6.013800000000015</v>
      </c>
      <c r="M126" s="928">
        <v>0</v>
      </c>
      <c r="N126" s="928">
        <v>0</v>
      </c>
      <c r="O126" s="1039">
        <v>0</v>
      </c>
      <c r="P126" s="1039">
        <v>41.08428</v>
      </c>
      <c r="Q126" s="747">
        <f t="shared" si="2"/>
        <v>411.7294799999999</v>
      </c>
      <c r="R126" s="1359"/>
      <c r="S126" s="1361"/>
    </row>
    <row r="127" spans="1:19" ht="13.5" customHeight="1">
      <c r="A127" s="1036" t="s">
        <v>286</v>
      </c>
      <c r="B127" s="175">
        <v>1.52</v>
      </c>
      <c r="C127" s="1035" t="s">
        <v>287</v>
      </c>
      <c r="D127" s="181" t="s">
        <v>288</v>
      </c>
      <c r="E127" s="552">
        <v>222.19959999999992</v>
      </c>
      <c r="F127" s="552">
        <v>216.97759999999988</v>
      </c>
      <c r="G127" s="552">
        <v>265.8936</v>
      </c>
      <c r="H127" s="552">
        <v>321.0200000000002</v>
      </c>
      <c r="I127" s="659">
        <v>263.91679999999957</v>
      </c>
      <c r="J127" s="659">
        <v>97.3728000000002</v>
      </c>
      <c r="K127" s="659">
        <v>0</v>
      </c>
      <c r="L127" s="659">
        <v>0</v>
      </c>
      <c r="M127" s="928">
        <v>0</v>
      </c>
      <c r="N127" s="928">
        <v>0</v>
      </c>
      <c r="O127" s="1039">
        <v>0</v>
      </c>
      <c r="P127" s="1039">
        <v>180.33679999999987</v>
      </c>
      <c r="Q127" s="747">
        <f t="shared" si="2"/>
        <v>1567.7171999999994</v>
      </c>
      <c r="R127" s="1358"/>
      <c r="S127" s="1361"/>
    </row>
    <row r="128" spans="1:19" ht="13.5" customHeight="1">
      <c r="A128" s="1036" t="s">
        <v>289</v>
      </c>
      <c r="B128" s="175">
        <v>10.5</v>
      </c>
      <c r="C128" s="1035" t="s">
        <v>290</v>
      </c>
      <c r="D128" s="177" t="s">
        <v>241</v>
      </c>
      <c r="E128" s="552">
        <v>1495.2239999999997</v>
      </c>
      <c r="F128" s="552">
        <v>1177.7328000000005</v>
      </c>
      <c r="G128" s="552">
        <v>1074.2111999999993</v>
      </c>
      <c r="H128" s="552">
        <v>3855.9888000000005</v>
      </c>
      <c r="I128" s="659">
        <v>1631.7935999999993</v>
      </c>
      <c r="J128" s="659">
        <v>187.18560000000033</v>
      </c>
      <c r="K128" s="659">
        <v>0</v>
      </c>
      <c r="L128" s="659">
        <v>81.79199999999928</v>
      </c>
      <c r="M128" s="928">
        <v>640.4256000000007</v>
      </c>
      <c r="N128" s="928">
        <v>1244.4624000000006</v>
      </c>
      <c r="O128" s="1039">
        <v>1623.916799999999</v>
      </c>
      <c r="P128" s="1039">
        <v>2681.1504000000004</v>
      </c>
      <c r="Q128" s="747">
        <f t="shared" si="2"/>
        <v>15693.8832</v>
      </c>
      <c r="R128" s="1359"/>
      <c r="S128" s="1361"/>
    </row>
    <row r="129" spans="1:19" ht="13.5" customHeight="1">
      <c r="A129" s="1036" t="s">
        <v>291</v>
      </c>
      <c r="B129" s="175">
        <v>5</v>
      </c>
      <c r="C129" s="178" t="s">
        <v>292</v>
      </c>
      <c r="D129" s="179" t="s">
        <v>241</v>
      </c>
      <c r="E129" s="552">
        <v>432.2639999999965</v>
      </c>
      <c r="F129" s="552">
        <v>279.72000000000344</v>
      </c>
      <c r="G129" s="552">
        <v>337.3229999999926</v>
      </c>
      <c r="H129" s="552">
        <v>1918.140000000003</v>
      </c>
      <c r="I129" s="552">
        <v>2597.2799999999966</v>
      </c>
      <c r="J129" s="552">
        <v>741.7935000000089</v>
      </c>
      <c r="K129" s="552">
        <v>193.28399999999417</v>
      </c>
      <c r="L129" s="552">
        <v>119.731500000003</v>
      </c>
      <c r="M129" s="552">
        <v>127.56449999999403</v>
      </c>
      <c r="N129" s="552">
        <v>148.270500000001</v>
      </c>
      <c r="O129" s="552">
        <v>452.5920000000028</v>
      </c>
      <c r="P129" s="552">
        <v>763.665000000005</v>
      </c>
      <c r="Q129" s="747">
        <f t="shared" si="2"/>
        <v>8111.627999999999</v>
      </c>
      <c r="R129" s="1358"/>
      <c r="S129" s="1361"/>
    </row>
    <row r="130" spans="1:19" ht="13.5" customHeight="1">
      <c r="A130" s="1036" t="s">
        <v>293</v>
      </c>
      <c r="B130" s="175">
        <v>1.08</v>
      </c>
      <c r="C130" s="178" t="s">
        <v>294</v>
      </c>
      <c r="D130" s="179" t="s">
        <v>241</v>
      </c>
      <c r="E130" s="552">
        <v>958.4715000000001</v>
      </c>
      <c r="F130" s="552">
        <v>953.8725</v>
      </c>
      <c r="G130" s="552">
        <v>1023.9809999999993</v>
      </c>
      <c r="H130" s="552">
        <v>806.0849999999998</v>
      </c>
      <c r="I130" s="659">
        <v>716.2785000000009</v>
      </c>
      <c r="J130" s="659">
        <v>579.8709999999983</v>
      </c>
      <c r="K130" s="659">
        <v>445.44120000000004</v>
      </c>
      <c r="L130" s="659">
        <v>348.2999999999971</v>
      </c>
      <c r="M130" s="928">
        <v>306.82469999999796</v>
      </c>
      <c r="N130" s="928">
        <v>313.57200000000034</v>
      </c>
      <c r="O130" s="1039">
        <v>494.84400000000045</v>
      </c>
      <c r="P130" s="1039">
        <v>711.4799999999999</v>
      </c>
      <c r="Q130" s="747">
        <f t="shared" si="2"/>
        <v>7659.021399999994</v>
      </c>
      <c r="R130" s="1359"/>
      <c r="S130" s="1361"/>
    </row>
    <row r="131" spans="1:19" ht="13.5" customHeight="1">
      <c r="A131" s="1036" t="s">
        <v>295</v>
      </c>
      <c r="B131" s="175">
        <v>0.32</v>
      </c>
      <c r="C131" s="1035" t="s">
        <v>296</v>
      </c>
      <c r="D131" s="177" t="s">
        <v>202</v>
      </c>
      <c r="E131" s="552">
        <v>83.89999999999986</v>
      </c>
      <c r="F131" s="552">
        <v>76.5</v>
      </c>
      <c r="G131" s="552">
        <v>87.09999999999991</v>
      </c>
      <c r="H131" s="552">
        <v>109.60000000000036</v>
      </c>
      <c r="I131" s="659">
        <v>109.19999999999983</v>
      </c>
      <c r="J131" s="659">
        <v>91.59999999999991</v>
      </c>
      <c r="K131" s="659">
        <v>70.6</v>
      </c>
      <c r="L131" s="659">
        <v>57.20000000000028</v>
      </c>
      <c r="M131" s="928">
        <v>46</v>
      </c>
      <c r="N131" s="928">
        <v>41.099999999999916</v>
      </c>
      <c r="O131" s="1039">
        <v>35.400000000000084</v>
      </c>
      <c r="P131" s="1039">
        <v>57.69999999999982</v>
      </c>
      <c r="Q131" s="747">
        <f t="shared" si="2"/>
        <v>865.9</v>
      </c>
      <c r="R131" s="1358"/>
      <c r="S131" s="1361"/>
    </row>
    <row r="132" spans="1:19" ht="13.5" customHeight="1">
      <c r="A132" s="1036" t="s">
        <v>297</v>
      </c>
      <c r="B132" s="175">
        <v>0.5</v>
      </c>
      <c r="C132" s="1803" t="s">
        <v>298</v>
      </c>
      <c r="D132" s="177" t="s">
        <v>202</v>
      </c>
      <c r="E132" s="552">
        <v>114.6810000000005</v>
      </c>
      <c r="F132" s="552">
        <v>80.94900000000052</v>
      </c>
      <c r="G132" s="552">
        <v>127.22999999999956</v>
      </c>
      <c r="H132" s="552">
        <v>145.27000000000044</v>
      </c>
      <c r="I132" s="552">
        <v>129.1900000000005</v>
      </c>
      <c r="J132" s="552">
        <v>11.239999999999782</v>
      </c>
      <c r="K132" s="552">
        <v>0</v>
      </c>
      <c r="L132" s="552">
        <v>0</v>
      </c>
      <c r="M132" s="928">
        <v>0</v>
      </c>
      <c r="N132" s="928">
        <v>0</v>
      </c>
      <c r="O132" s="1039">
        <v>0</v>
      </c>
      <c r="P132" s="1039">
        <v>123.07999999999993</v>
      </c>
      <c r="Q132" s="747">
        <f t="shared" si="2"/>
        <v>731.6400000000012</v>
      </c>
      <c r="R132" s="1359"/>
      <c r="S132" s="1361"/>
    </row>
    <row r="133" spans="1:19" ht="13.5" customHeight="1">
      <c r="A133" s="1036" t="s">
        <v>299</v>
      </c>
      <c r="B133" s="175">
        <v>0.8</v>
      </c>
      <c r="C133" s="1803"/>
      <c r="D133" s="177" t="s">
        <v>202</v>
      </c>
      <c r="E133" s="552">
        <v>257.72199999999884</v>
      </c>
      <c r="F133" s="552">
        <v>207.054000000001</v>
      </c>
      <c r="G133" s="552">
        <v>231.74799999999868</v>
      </c>
      <c r="H133" s="552">
        <v>522.2080000000014</v>
      </c>
      <c r="I133" s="659">
        <v>229.08399999999983</v>
      </c>
      <c r="J133" s="659">
        <v>8.061999999999898</v>
      </c>
      <c r="K133" s="659">
        <v>0</v>
      </c>
      <c r="L133" s="659">
        <v>0</v>
      </c>
      <c r="M133" s="928">
        <v>0</v>
      </c>
      <c r="N133" s="928">
        <v>0</v>
      </c>
      <c r="O133" s="1039">
        <v>69.40599999999993</v>
      </c>
      <c r="P133" s="1039">
        <v>229.47000000000023</v>
      </c>
      <c r="Q133" s="747">
        <f t="shared" si="2"/>
        <v>1754.754</v>
      </c>
      <c r="R133" s="1358"/>
      <c r="S133" s="1361"/>
    </row>
    <row r="134" spans="1:19" ht="13.5" customHeight="1">
      <c r="A134" s="1036" t="s">
        <v>300</v>
      </c>
      <c r="B134" s="175">
        <v>0.5</v>
      </c>
      <c r="C134" s="1803"/>
      <c r="D134" s="177" t="s">
        <v>202</v>
      </c>
      <c r="E134" s="552">
        <v>134.41440000000037</v>
      </c>
      <c r="F134" s="552">
        <v>84.77919999999976</v>
      </c>
      <c r="G134" s="552">
        <v>96.49359999999979</v>
      </c>
      <c r="H134" s="552">
        <v>270.0472000000002</v>
      </c>
      <c r="I134" s="659">
        <v>156.10800000000017</v>
      </c>
      <c r="J134" s="659">
        <v>5.811999999999898</v>
      </c>
      <c r="K134" s="659">
        <v>0</v>
      </c>
      <c r="L134" s="659">
        <v>0</v>
      </c>
      <c r="M134" s="928">
        <v>0</v>
      </c>
      <c r="N134" s="928">
        <v>0</v>
      </c>
      <c r="O134" s="1039">
        <v>29.204799999999885</v>
      </c>
      <c r="P134" s="1039">
        <v>130.06479999999974</v>
      </c>
      <c r="Q134" s="747">
        <f t="shared" si="2"/>
        <v>906.9239999999998</v>
      </c>
      <c r="R134" s="1359"/>
      <c r="S134" s="1361"/>
    </row>
    <row r="135" spans="1:19" ht="13.5" customHeight="1">
      <c r="A135" s="1036" t="s">
        <v>301</v>
      </c>
      <c r="B135" s="175">
        <v>0.4</v>
      </c>
      <c r="C135" s="1035" t="s">
        <v>302</v>
      </c>
      <c r="D135" s="177" t="s">
        <v>202</v>
      </c>
      <c r="E135" s="552">
        <v>450</v>
      </c>
      <c r="F135" s="552">
        <v>395.3999999999992</v>
      </c>
      <c r="G135" s="552">
        <v>427.2000000000003</v>
      </c>
      <c r="H135" s="552">
        <v>524.7000000000003</v>
      </c>
      <c r="I135" s="659">
        <v>373.5</v>
      </c>
      <c r="J135" s="659">
        <v>75.59999999999944</v>
      </c>
      <c r="K135" s="659">
        <v>21.299999999999727</v>
      </c>
      <c r="L135" s="659">
        <v>0</v>
      </c>
      <c r="M135" s="928">
        <v>0</v>
      </c>
      <c r="N135" s="928">
        <v>109.80000000000109</v>
      </c>
      <c r="O135" s="1039">
        <v>186.59999999999945</v>
      </c>
      <c r="P135" s="1039">
        <v>426.59999999999945</v>
      </c>
      <c r="Q135" s="747">
        <f t="shared" si="2"/>
        <v>2990.699999999999</v>
      </c>
      <c r="R135" s="1358"/>
      <c r="S135" s="1361"/>
    </row>
    <row r="136" spans="1:19" ht="13.5" customHeight="1">
      <c r="A136" s="1036" t="s">
        <v>303</v>
      </c>
      <c r="B136" s="175">
        <v>1.775</v>
      </c>
      <c r="C136" s="1035" t="s">
        <v>304</v>
      </c>
      <c r="D136" s="177" t="s">
        <v>202</v>
      </c>
      <c r="E136" s="552">
        <v>420.45900000000074</v>
      </c>
      <c r="F136" s="552">
        <v>289.23599999999806</v>
      </c>
      <c r="G136" s="552">
        <v>158.44200000000095</v>
      </c>
      <c r="H136" s="552">
        <v>1040.7569999999996</v>
      </c>
      <c r="I136" s="659">
        <v>616.398000000001</v>
      </c>
      <c r="J136" s="659">
        <v>34.11599999999817</v>
      </c>
      <c r="K136" s="659">
        <v>0</v>
      </c>
      <c r="L136" s="659">
        <v>0</v>
      </c>
      <c r="M136" s="928">
        <v>0</v>
      </c>
      <c r="N136" s="928">
        <v>0</v>
      </c>
      <c r="O136" s="1039">
        <v>154.08300000000236</v>
      </c>
      <c r="P136" s="1039">
        <v>544.5239999999994</v>
      </c>
      <c r="Q136" s="747">
        <f t="shared" si="2"/>
        <v>3258.0150000000003</v>
      </c>
      <c r="R136" s="1359"/>
      <c r="S136" s="1361"/>
    </row>
    <row r="137" spans="1:19" ht="13.5" customHeight="1">
      <c r="A137" s="1036" t="s">
        <v>305</v>
      </c>
      <c r="B137" s="175">
        <v>0.6</v>
      </c>
      <c r="C137" s="1035" t="s">
        <v>306</v>
      </c>
      <c r="D137" s="177" t="s">
        <v>202</v>
      </c>
      <c r="E137" s="552">
        <v>58.885999999999974</v>
      </c>
      <c r="F137" s="552">
        <v>67.8900000000001</v>
      </c>
      <c r="G137" s="552">
        <v>95.14799999999991</v>
      </c>
      <c r="H137" s="552">
        <v>172.07400000000007</v>
      </c>
      <c r="I137" s="659">
        <v>64.74199999999996</v>
      </c>
      <c r="J137" s="659">
        <v>35.08999999999992</v>
      </c>
      <c r="K137" s="659">
        <v>0</v>
      </c>
      <c r="L137" s="659">
        <v>0</v>
      </c>
      <c r="M137" s="928">
        <v>88.02400000000011</v>
      </c>
      <c r="N137" s="928">
        <v>0</v>
      </c>
      <c r="O137" s="1039">
        <v>0</v>
      </c>
      <c r="P137" s="1039">
        <v>0</v>
      </c>
      <c r="Q137" s="747">
        <f aca="true" t="shared" si="3" ref="Q137:Q200">SUM(E137:P137)</f>
        <v>581.854</v>
      </c>
      <c r="R137" s="1358"/>
      <c r="S137" s="1361"/>
    </row>
    <row r="138" spans="1:19" ht="13.5" customHeight="1">
      <c r="A138" s="1036" t="s">
        <v>307</v>
      </c>
      <c r="B138" s="175">
        <v>0.4</v>
      </c>
      <c r="C138" s="1035" t="s">
        <v>308</v>
      </c>
      <c r="D138" s="177" t="s">
        <v>202</v>
      </c>
      <c r="E138" s="552">
        <v>274.6462800000014</v>
      </c>
      <c r="F138" s="552">
        <v>247.32827999999864</v>
      </c>
      <c r="G138" s="552">
        <v>275.5087200000003</v>
      </c>
      <c r="H138" s="552">
        <v>280.1296800000005</v>
      </c>
      <c r="I138" s="659">
        <v>290.07935999999927</v>
      </c>
      <c r="J138" s="659">
        <v>227.73552000000026</v>
      </c>
      <c r="K138" s="659">
        <v>192.423</v>
      </c>
      <c r="L138" s="659">
        <v>171.35891999999933</v>
      </c>
      <c r="M138" s="928">
        <v>201.36575999999943</v>
      </c>
      <c r="N138" s="928">
        <v>200.4870000000007</v>
      </c>
      <c r="O138" s="1039">
        <v>189.30732000000017</v>
      </c>
      <c r="P138" s="1039">
        <v>246.181559999999</v>
      </c>
      <c r="Q138" s="747">
        <f t="shared" si="3"/>
        <v>2796.551399999999</v>
      </c>
      <c r="R138" s="1359"/>
      <c r="S138" s="1361"/>
    </row>
    <row r="139" spans="1:19" ht="13.5" customHeight="1">
      <c r="A139" s="1036" t="s">
        <v>309</v>
      </c>
      <c r="B139" s="182">
        <v>3.6</v>
      </c>
      <c r="C139" s="1821" t="s">
        <v>310</v>
      </c>
      <c r="D139" s="177" t="s">
        <v>241</v>
      </c>
      <c r="E139" s="552">
        <v>1079.3999999999987</v>
      </c>
      <c r="F139" s="552">
        <v>932.3999999999987</v>
      </c>
      <c r="G139" s="552">
        <v>953.4000000000019</v>
      </c>
      <c r="H139" s="552">
        <v>1700.9999999999968</v>
      </c>
      <c r="I139" s="659">
        <v>624.4000000000051</v>
      </c>
      <c r="J139" s="659">
        <v>414.3999999999987</v>
      </c>
      <c r="K139" s="659">
        <v>259</v>
      </c>
      <c r="L139" s="659">
        <v>226.79999999999742</v>
      </c>
      <c r="M139" s="928">
        <v>186.20000000000258</v>
      </c>
      <c r="N139" s="928">
        <v>285.6000000000013</v>
      </c>
      <c r="O139" s="1040">
        <v>575.3999999999987</v>
      </c>
      <c r="P139" s="1040">
        <v>1044.3999999999987</v>
      </c>
      <c r="Q139" s="747">
        <f t="shared" si="3"/>
        <v>8282.399999999998</v>
      </c>
      <c r="R139" s="1358"/>
      <c r="S139" s="1361"/>
    </row>
    <row r="140" spans="1:19" ht="13.5" customHeight="1">
      <c r="A140" s="1036" t="s">
        <v>481</v>
      </c>
      <c r="B140" s="183">
        <v>0.3</v>
      </c>
      <c r="C140" s="1823"/>
      <c r="D140" s="177" t="s">
        <v>241</v>
      </c>
      <c r="E140" s="552">
        <v>142.8</v>
      </c>
      <c r="F140" s="552">
        <v>115.36000000000013</v>
      </c>
      <c r="G140" s="552">
        <v>136.91999999999962</v>
      </c>
      <c r="H140" s="552">
        <v>218.12000000000026</v>
      </c>
      <c r="I140" s="659">
        <v>121.8</v>
      </c>
      <c r="J140" s="659">
        <v>55.16000000000013</v>
      </c>
      <c r="K140" s="659">
        <v>33.6</v>
      </c>
      <c r="L140" s="659">
        <v>32.47999999999975</v>
      </c>
      <c r="M140" s="928">
        <v>28.560000000000098</v>
      </c>
      <c r="N140" s="928">
        <v>41.16000000000013</v>
      </c>
      <c r="O140" s="1039">
        <v>84.83999999999988</v>
      </c>
      <c r="P140" s="1039">
        <v>153.99999999999935</v>
      </c>
      <c r="Q140" s="747">
        <f t="shared" si="3"/>
        <v>1164.7999999999993</v>
      </c>
      <c r="R140" s="1359"/>
      <c r="S140" s="1361"/>
    </row>
    <row r="141" spans="1:19" ht="13.5" customHeight="1">
      <c r="A141" s="1036" t="s">
        <v>507</v>
      </c>
      <c r="B141" s="184">
        <v>0.62</v>
      </c>
      <c r="C141" s="1822"/>
      <c r="D141" s="177" t="s">
        <v>241</v>
      </c>
      <c r="E141" s="552">
        <v>294.14699999999897</v>
      </c>
      <c r="F141" s="552">
        <v>245.96250000000072</v>
      </c>
      <c r="G141" s="552">
        <v>261.55499999999967</v>
      </c>
      <c r="H141" s="552">
        <v>423.80099999999965</v>
      </c>
      <c r="I141" s="659">
        <v>198.03000000000134</v>
      </c>
      <c r="J141" s="659">
        <v>98.08049999999889</v>
      </c>
      <c r="K141" s="659">
        <v>49.62300000000118</v>
      </c>
      <c r="L141" s="659">
        <v>39.00749999999914</v>
      </c>
      <c r="M141" s="928">
        <v>39.816000000001516</v>
      </c>
      <c r="N141" s="928">
        <v>55.87049999999908</v>
      </c>
      <c r="O141" s="1039">
        <v>114.58650000000131</v>
      </c>
      <c r="P141" s="1039">
        <v>262.2059999999986</v>
      </c>
      <c r="Q141" s="747">
        <f t="shared" si="3"/>
        <v>2082.6855000000005</v>
      </c>
      <c r="R141" s="1358"/>
      <c r="S141" s="1361"/>
    </row>
    <row r="142" spans="1:19" ht="13.5" customHeight="1">
      <c r="A142" s="1036" t="s">
        <v>311</v>
      </c>
      <c r="B142" s="175">
        <v>2.2</v>
      </c>
      <c r="C142" s="1035" t="s">
        <v>312</v>
      </c>
      <c r="D142" s="177" t="s">
        <v>241</v>
      </c>
      <c r="E142" s="552">
        <v>431.82000000000016</v>
      </c>
      <c r="F142" s="552">
        <v>307.15199999999936</v>
      </c>
      <c r="G142" s="552">
        <v>253.76400000000126</v>
      </c>
      <c r="H142" s="552">
        <v>921.6539999999995</v>
      </c>
      <c r="I142" s="659">
        <v>1042.2540000000004</v>
      </c>
      <c r="J142" s="659">
        <v>623.8799999999994</v>
      </c>
      <c r="K142" s="659">
        <v>221.4</v>
      </c>
      <c r="L142" s="659">
        <v>9.611999999999853</v>
      </c>
      <c r="M142" s="928">
        <v>5.2200000000013915</v>
      </c>
      <c r="N142" s="928">
        <v>5.327999999998838</v>
      </c>
      <c r="O142" s="1039">
        <v>183.20399999999995</v>
      </c>
      <c r="P142" s="1039">
        <v>710.784000000001</v>
      </c>
      <c r="Q142" s="747">
        <f t="shared" si="3"/>
        <v>4716.072</v>
      </c>
      <c r="R142" s="1358"/>
      <c r="S142" s="1361"/>
    </row>
    <row r="143" spans="1:19" ht="13.5" customHeight="1">
      <c r="A143" s="1036" t="s">
        <v>313</v>
      </c>
      <c r="B143" s="175">
        <v>2.4</v>
      </c>
      <c r="C143" s="1035" t="s">
        <v>314</v>
      </c>
      <c r="D143" s="177" t="s">
        <v>202</v>
      </c>
      <c r="E143" s="552">
        <v>364.39999999999964</v>
      </c>
      <c r="F143" s="552">
        <v>362.8000000000011</v>
      </c>
      <c r="G143" s="552">
        <v>201.59999999999854</v>
      </c>
      <c r="H143" s="552">
        <v>608</v>
      </c>
      <c r="I143" s="659">
        <v>172</v>
      </c>
      <c r="J143" s="659">
        <v>0</v>
      </c>
      <c r="K143" s="659">
        <v>0</v>
      </c>
      <c r="L143" s="659">
        <v>0</v>
      </c>
      <c r="M143" s="928">
        <v>236</v>
      </c>
      <c r="N143" s="928">
        <v>211.26000000000073</v>
      </c>
      <c r="O143" s="1039">
        <v>330.372</v>
      </c>
      <c r="P143" s="1039">
        <v>512.688</v>
      </c>
      <c r="Q143" s="747">
        <f t="shared" si="3"/>
        <v>2999.12</v>
      </c>
      <c r="R143" s="1359"/>
      <c r="S143" s="1361"/>
    </row>
    <row r="144" spans="1:19" ht="13.5" customHeight="1">
      <c r="A144" s="1036" t="s">
        <v>315</v>
      </c>
      <c r="B144" s="175">
        <v>0.66</v>
      </c>
      <c r="C144" s="178" t="s">
        <v>316</v>
      </c>
      <c r="D144" s="179" t="s">
        <v>211</v>
      </c>
      <c r="E144" s="552">
        <v>386.0592000000011</v>
      </c>
      <c r="F144" s="552">
        <v>333.216</v>
      </c>
      <c r="G144" s="552">
        <v>346.7632</v>
      </c>
      <c r="H144" s="552">
        <v>331.768</v>
      </c>
      <c r="I144" s="659">
        <v>333.20480000000003</v>
      </c>
      <c r="J144" s="659">
        <v>297.48</v>
      </c>
      <c r="K144" s="659">
        <v>319.31359999999995</v>
      </c>
      <c r="L144" s="659">
        <v>302.3846000000001</v>
      </c>
      <c r="M144" s="928">
        <v>289.854</v>
      </c>
      <c r="N144" s="928">
        <v>324.5195999999999</v>
      </c>
      <c r="O144" s="1039">
        <v>215.394</v>
      </c>
      <c r="P144" s="1039">
        <v>305.03279999999995</v>
      </c>
      <c r="Q144" s="747">
        <f t="shared" si="3"/>
        <v>3784.989800000001</v>
      </c>
      <c r="R144" s="1358"/>
      <c r="S144" s="1361"/>
    </row>
    <row r="145" spans="1:19" ht="13.5" customHeight="1">
      <c r="A145" s="1036" t="s">
        <v>317</v>
      </c>
      <c r="B145" s="175">
        <v>1</v>
      </c>
      <c r="C145" s="178" t="s">
        <v>318</v>
      </c>
      <c r="D145" s="179" t="s">
        <v>241</v>
      </c>
      <c r="E145" s="552">
        <v>682.0730000000005</v>
      </c>
      <c r="F145" s="552">
        <v>400.23899999999935</v>
      </c>
      <c r="G145" s="552">
        <v>445.9349999999995</v>
      </c>
      <c r="H145" s="552">
        <v>783.4820000000011</v>
      </c>
      <c r="I145" s="659">
        <v>247.01249999999936</v>
      </c>
      <c r="J145" s="659">
        <v>185.46500000000083</v>
      </c>
      <c r="K145" s="659">
        <v>96.99549999999908</v>
      </c>
      <c r="L145" s="659">
        <v>116.19299999999953</v>
      </c>
      <c r="M145" s="928">
        <v>153.65000000000032</v>
      </c>
      <c r="N145" s="928">
        <v>127.42099999999982</v>
      </c>
      <c r="O145" s="1039">
        <v>385.5459999999998</v>
      </c>
      <c r="P145" s="1039">
        <v>441.2345</v>
      </c>
      <c r="Q145" s="747">
        <f t="shared" si="3"/>
        <v>4065.246499999999</v>
      </c>
      <c r="R145" s="1359"/>
      <c r="S145" s="1361"/>
    </row>
    <row r="146" spans="1:19" ht="13.5" customHeight="1">
      <c r="A146" s="1036" t="s">
        <v>319</v>
      </c>
      <c r="B146" s="175">
        <v>1.3</v>
      </c>
      <c r="C146" s="1035" t="s">
        <v>320</v>
      </c>
      <c r="D146" s="181" t="s">
        <v>321</v>
      </c>
      <c r="E146" s="552">
        <v>512.7120000000002</v>
      </c>
      <c r="F146" s="552">
        <v>154.58399999999966</v>
      </c>
      <c r="G146" s="552">
        <v>333.5520000000001</v>
      </c>
      <c r="H146" s="552">
        <v>699.1439999999999</v>
      </c>
      <c r="I146" s="659">
        <v>365.2320000000007</v>
      </c>
      <c r="J146" s="659">
        <v>51.23999999999978</v>
      </c>
      <c r="K146" s="659">
        <v>0</v>
      </c>
      <c r="L146" s="552">
        <v>0</v>
      </c>
      <c r="M146" s="552">
        <v>0</v>
      </c>
      <c r="N146" s="928">
        <v>263.30400000000014</v>
      </c>
      <c r="O146" s="1039">
        <v>252.98399999999964</v>
      </c>
      <c r="P146" s="1039">
        <v>855.048</v>
      </c>
      <c r="Q146" s="747">
        <f t="shared" si="3"/>
        <v>3487.8</v>
      </c>
      <c r="R146" s="1358"/>
      <c r="S146" s="1361"/>
    </row>
    <row r="147" spans="1:19" ht="13.5" customHeight="1">
      <c r="A147" s="1036" t="s">
        <v>322</v>
      </c>
      <c r="B147" s="175">
        <v>1.08</v>
      </c>
      <c r="C147" s="1821" t="s">
        <v>323</v>
      </c>
      <c r="D147" s="177" t="s">
        <v>241</v>
      </c>
      <c r="E147" s="552">
        <v>0</v>
      </c>
      <c r="F147" s="552">
        <v>0</v>
      </c>
      <c r="G147" s="552">
        <v>12.960000000000083</v>
      </c>
      <c r="H147" s="552">
        <v>0</v>
      </c>
      <c r="I147" s="659">
        <v>0</v>
      </c>
      <c r="J147" s="659">
        <v>0</v>
      </c>
      <c r="K147" s="659">
        <v>0</v>
      </c>
      <c r="L147" s="659">
        <v>0</v>
      </c>
      <c r="M147" s="928">
        <v>0</v>
      </c>
      <c r="N147" s="928">
        <v>0</v>
      </c>
      <c r="O147" s="1039">
        <v>0</v>
      </c>
      <c r="P147" s="1039">
        <v>18.71999999999996</v>
      </c>
      <c r="Q147" s="747">
        <f t="shared" si="3"/>
        <v>31.680000000000042</v>
      </c>
      <c r="R147" s="1359"/>
      <c r="S147" s="1361"/>
    </row>
    <row r="148" spans="1:19" ht="13.5" customHeight="1">
      <c r="A148" s="1036" t="s">
        <v>324</v>
      </c>
      <c r="B148" s="175">
        <v>1.174</v>
      </c>
      <c r="C148" s="1822"/>
      <c r="D148" s="177" t="s">
        <v>241</v>
      </c>
      <c r="E148" s="552">
        <v>583.2</v>
      </c>
      <c r="F148" s="552">
        <v>348.48000000000064</v>
      </c>
      <c r="G148" s="552">
        <v>417.6</v>
      </c>
      <c r="H148" s="552">
        <v>1241.2800000000007</v>
      </c>
      <c r="I148" s="659">
        <v>457.91999999999933</v>
      </c>
      <c r="J148" s="659">
        <v>187.2</v>
      </c>
      <c r="K148" s="659">
        <v>366.0824999999977</v>
      </c>
      <c r="L148" s="659">
        <v>0</v>
      </c>
      <c r="M148" s="928">
        <v>5.759999999999673</v>
      </c>
      <c r="N148" s="928">
        <v>7.2</v>
      </c>
      <c r="O148" s="1039">
        <v>169.92000000000098</v>
      </c>
      <c r="P148" s="1039">
        <v>498.2399999999987</v>
      </c>
      <c r="Q148" s="747">
        <f t="shared" si="3"/>
        <v>4282.882499999997</v>
      </c>
      <c r="R148" s="1358"/>
      <c r="S148" s="1361"/>
    </row>
    <row r="149" spans="1:19" ht="13.5" customHeight="1">
      <c r="A149" s="1036" t="s">
        <v>325</v>
      </c>
      <c r="B149" s="175">
        <v>0.4</v>
      </c>
      <c r="C149" s="178" t="s">
        <v>326</v>
      </c>
      <c r="D149" s="177" t="s">
        <v>202</v>
      </c>
      <c r="E149" s="552">
        <v>102.0525999999998</v>
      </c>
      <c r="F149" s="552">
        <v>81.73844999999885</v>
      </c>
      <c r="G149" s="552">
        <v>87.92060000000056</v>
      </c>
      <c r="H149" s="552">
        <v>308.7679999999998</v>
      </c>
      <c r="I149" s="659">
        <v>202.36315000000081</v>
      </c>
      <c r="J149" s="659">
        <v>47.58119999999908</v>
      </c>
      <c r="K149" s="659">
        <v>11.107300000000144</v>
      </c>
      <c r="L149" s="659">
        <v>19.834150000000452</v>
      </c>
      <c r="M149" s="928">
        <v>22.66384999999955</v>
      </c>
      <c r="N149" s="928">
        <v>18.096450000000505</v>
      </c>
      <c r="O149" s="1039">
        <v>76.05555000000031</v>
      </c>
      <c r="P149" s="1039">
        <v>156.7683999999994</v>
      </c>
      <c r="Q149" s="747">
        <f t="shared" si="3"/>
        <v>1134.9496999999992</v>
      </c>
      <c r="R149" s="1359"/>
      <c r="S149" s="1361"/>
    </row>
    <row r="150" spans="1:19" ht="13.5" customHeight="1">
      <c r="A150" s="1036" t="s">
        <v>327</v>
      </c>
      <c r="B150" s="175">
        <v>3.1</v>
      </c>
      <c r="C150" s="1035" t="s">
        <v>328</v>
      </c>
      <c r="D150" s="177" t="s">
        <v>202</v>
      </c>
      <c r="E150" s="552">
        <v>0</v>
      </c>
      <c r="F150" s="552">
        <v>0</v>
      </c>
      <c r="G150" s="552">
        <v>0</v>
      </c>
      <c r="H150" s="552">
        <v>0</v>
      </c>
      <c r="I150" s="659">
        <v>0</v>
      </c>
      <c r="J150" s="659">
        <v>0</v>
      </c>
      <c r="K150" s="659">
        <v>0</v>
      </c>
      <c r="L150" s="659">
        <v>0</v>
      </c>
      <c r="M150" s="928">
        <v>0</v>
      </c>
      <c r="N150" s="928">
        <v>0</v>
      </c>
      <c r="O150" s="1039">
        <v>0</v>
      </c>
      <c r="P150" s="1039">
        <v>0</v>
      </c>
      <c r="Q150" s="747">
        <f t="shared" si="3"/>
        <v>0</v>
      </c>
      <c r="R150" s="1358"/>
      <c r="S150" s="1361"/>
    </row>
    <row r="151" spans="1:19" ht="13.5" customHeight="1">
      <c r="A151" s="1036" t="s">
        <v>329</v>
      </c>
      <c r="B151" s="175">
        <v>1.072</v>
      </c>
      <c r="C151" s="1803" t="s">
        <v>330</v>
      </c>
      <c r="D151" s="179" t="s">
        <v>202</v>
      </c>
      <c r="E151" s="552">
        <v>50.39999999999998</v>
      </c>
      <c r="F151" s="552">
        <v>44</v>
      </c>
      <c r="G151" s="552">
        <v>46.19999999999993</v>
      </c>
      <c r="H151" s="552">
        <v>48.400000000000084</v>
      </c>
      <c r="I151" s="659">
        <v>47.700000000000045</v>
      </c>
      <c r="J151" s="659">
        <v>35</v>
      </c>
      <c r="K151" s="659">
        <v>19.09999999999991</v>
      </c>
      <c r="L151" s="659">
        <v>0</v>
      </c>
      <c r="M151" s="928">
        <v>0</v>
      </c>
      <c r="N151" s="928">
        <v>0</v>
      </c>
      <c r="O151" s="552">
        <v>23.90000000000009</v>
      </c>
      <c r="P151" s="552">
        <v>39.599999999999916</v>
      </c>
      <c r="Q151" s="747">
        <f t="shared" si="3"/>
        <v>354.29999999999995</v>
      </c>
      <c r="R151" s="1359"/>
      <c r="S151" s="1361"/>
    </row>
    <row r="152" spans="1:19" ht="13.5" customHeight="1">
      <c r="A152" s="1036" t="s">
        <v>331</v>
      </c>
      <c r="B152" s="175">
        <v>1.1</v>
      </c>
      <c r="C152" s="1803"/>
      <c r="D152" s="179" t="s">
        <v>202</v>
      </c>
      <c r="E152" s="552">
        <v>62.22799999999988</v>
      </c>
      <c r="F152" s="552">
        <v>51.71600000000006</v>
      </c>
      <c r="G152" s="552">
        <v>56.14399999999994</v>
      </c>
      <c r="H152" s="552">
        <v>57.62800000000003</v>
      </c>
      <c r="I152" s="659">
        <v>56.76</v>
      </c>
      <c r="J152" s="659">
        <v>44.82400000000009</v>
      </c>
      <c r="K152" s="659">
        <v>29.9</v>
      </c>
      <c r="L152" s="659">
        <v>0</v>
      </c>
      <c r="M152" s="928">
        <v>0</v>
      </c>
      <c r="N152" s="928">
        <v>0</v>
      </c>
      <c r="O152" s="552">
        <v>33.42</v>
      </c>
      <c r="P152" s="552">
        <v>48.567999999999884</v>
      </c>
      <c r="Q152" s="747">
        <f t="shared" si="3"/>
        <v>441.1879999999998</v>
      </c>
      <c r="R152" s="1358"/>
      <c r="S152" s="1361"/>
    </row>
    <row r="153" spans="1:19" ht="13.5" customHeight="1">
      <c r="A153" s="1036" t="s">
        <v>332</v>
      </c>
      <c r="B153" s="175">
        <v>0.875</v>
      </c>
      <c r="C153" s="178" t="s">
        <v>333</v>
      </c>
      <c r="D153" s="177" t="s">
        <v>202</v>
      </c>
      <c r="E153" s="552">
        <v>178.3881</v>
      </c>
      <c r="F153" s="552">
        <v>106.87670000000003</v>
      </c>
      <c r="G153" s="552">
        <v>86.09130000000005</v>
      </c>
      <c r="H153" s="552">
        <v>161.03340000000003</v>
      </c>
      <c r="I153" s="659">
        <v>119.69020000000002</v>
      </c>
      <c r="J153" s="659">
        <v>45.881399999999985</v>
      </c>
      <c r="K153" s="659">
        <v>0</v>
      </c>
      <c r="L153" s="659">
        <v>0</v>
      </c>
      <c r="M153" s="928">
        <v>0</v>
      </c>
      <c r="N153" s="928">
        <v>0</v>
      </c>
      <c r="O153" s="1039">
        <v>0</v>
      </c>
      <c r="P153" s="1039">
        <v>201.1169</v>
      </c>
      <c r="Q153" s="747">
        <f t="shared" si="3"/>
        <v>899.0780000000001</v>
      </c>
      <c r="R153" s="1359"/>
      <c r="S153" s="1361"/>
    </row>
    <row r="154" spans="1:19" ht="13.5" customHeight="1">
      <c r="A154" s="1036" t="s">
        <v>334</v>
      </c>
      <c r="B154" s="175">
        <v>0.75</v>
      </c>
      <c r="C154" s="178" t="s">
        <v>335</v>
      </c>
      <c r="D154" s="177" t="s">
        <v>202</v>
      </c>
      <c r="E154" s="552">
        <v>0</v>
      </c>
      <c r="F154" s="552">
        <v>0</v>
      </c>
      <c r="G154" s="552">
        <v>0</v>
      </c>
      <c r="H154" s="552">
        <v>0</v>
      </c>
      <c r="I154" s="552">
        <v>0</v>
      </c>
      <c r="J154" s="552">
        <v>0</v>
      </c>
      <c r="K154" s="552">
        <v>0</v>
      </c>
      <c r="L154" s="552">
        <v>0</v>
      </c>
      <c r="M154" s="928">
        <v>0</v>
      </c>
      <c r="N154" s="928">
        <v>0</v>
      </c>
      <c r="O154" s="1039">
        <v>0</v>
      </c>
      <c r="P154" s="1039">
        <v>0</v>
      </c>
      <c r="Q154" s="747">
        <f t="shared" si="3"/>
        <v>0</v>
      </c>
      <c r="R154" s="1358"/>
      <c r="S154" s="1361"/>
    </row>
    <row r="155" spans="1:19" ht="13.5" customHeight="1">
      <c r="A155" s="600" t="s">
        <v>336</v>
      </c>
      <c r="B155" s="1419">
        <v>1</v>
      </c>
      <c r="C155" s="1420" t="s">
        <v>337</v>
      </c>
      <c r="D155" s="1421" t="s">
        <v>211</v>
      </c>
      <c r="E155" s="1043">
        <v>179.71559999999968</v>
      </c>
      <c r="F155" s="1043">
        <v>156.77879999999976</v>
      </c>
      <c r="G155" s="1043">
        <v>167.2107600000003</v>
      </c>
      <c r="H155" s="1043">
        <v>194.98763999999966</v>
      </c>
      <c r="I155" s="1422">
        <v>130.1248799999998</v>
      </c>
      <c r="J155" s="1422">
        <v>0</v>
      </c>
      <c r="K155" s="1422">
        <v>0</v>
      </c>
      <c r="L155" s="1422">
        <v>0</v>
      </c>
      <c r="M155" s="1423">
        <v>0</v>
      </c>
      <c r="N155" s="1423">
        <v>127.90692000000001</v>
      </c>
      <c r="O155" s="1423">
        <v>137.76155999999997</v>
      </c>
      <c r="P155" s="1423">
        <v>147</v>
      </c>
      <c r="Q155" s="1424">
        <f t="shared" si="3"/>
        <v>1241.4861599999992</v>
      </c>
      <c r="R155" s="1359"/>
      <c r="S155" s="1361"/>
    </row>
    <row r="156" spans="1:19" ht="13.5" customHeight="1">
      <c r="A156" s="1036" t="s">
        <v>338</v>
      </c>
      <c r="B156" s="175">
        <v>2.715</v>
      </c>
      <c r="C156" s="178" t="s">
        <v>339</v>
      </c>
      <c r="D156" s="177" t="s">
        <v>340</v>
      </c>
      <c r="E156" s="552">
        <v>1610.5949999999996</v>
      </c>
      <c r="F156" s="552">
        <v>866.5020000000007</v>
      </c>
      <c r="G156" s="552">
        <v>997.0967999999999</v>
      </c>
      <c r="H156" s="552">
        <v>1625.9544000000003</v>
      </c>
      <c r="I156" s="659">
        <v>1180.7921999999983</v>
      </c>
      <c r="J156" s="659">
        <v>427.8582000000004</v>
      </c>
      <c r="K156" s="659">
        <v>142.22040000000035</v>
      </c>
      <c r="L156" s="659">
        <v>130.4687999999994</v>
      </c>
      <c r="M156" s="928">
        <v>141.87179999999998</v>
      </c>
      <c r="N156" s="928">
        <v>280.37940000000026</v>
      </c>
      <c r="O156" s="1039">
        <v>792.4140000000003</v>
      </c>
      <c r="P156" s="1039">
        <v>1056.4806000000005</v>
      </c>
      <c r="Q156" s="747">
        <f t="shared" si="3"/>
        <v>9252.633600000001</v>
      </c>
      <c r="R156" s="1358"/>
      <c r="S156" s="1361"/>
    </row>
    <row r="157" spans="1:19" ht="13.5" customHeight="1">
      <c r="A157" s="1036" t="s">
        <v>341</v>
      </c>
      <c r="B157" s="175">
        <v>1.6</v>
      </c>
      <c r="C157" s="178" t="s">
        <v>342</v>
      </c>
      <c r="D157" s="177" t="s">
        <v>202</v>
      </c>
      <c r="E157" s="552">
        <v>349.4840000000003</v>
      </c>
      <c r="F157" s="552">
        <v>343.2579999999998</v>
      </c>
      <c r="G157" s="552">
        <v>450.3799999999992</v>
      </c>
      <c r="H157" s="552">
        <v>685.3020000000015</v>
      </c>
      <c r="I157" s="659">
        <v>684.0799999999999</v>
      </c>
      <c r="J157" s="659">
        <v>279.20000000000067</v>
      </c>
      <c r="K157" s="659">
        <v>0</v>
      </c>
      <c r="L157" s="659">
        <v>55.977</v>
      </c>
      <c r="M157" s="928">
        <v>477.372</v>
      </c>
      <c r="N157" s="928">
        <v>338.97900000000004</v>
      </c>
      <c r="O157" s="1039">
        <v>467.61600000000004</v>
      </c>
      <c r="P157" s="1039">
        <v>624.3239999999998</v>
      </c>
      <c r="Q157" s="747">
        <f t="shared" si="3"/>
        <v>4755.972000000001</v>
      </c>
      <c r="R157" s="1359"/>
      <c r="S157" s="1361"/>
    </row>
    <row r="158" spans="1:19" ht="13.5" customHeight="1">
      <c r="A158" s="1036" t="s">
        <v>343</v>
      </c>
      <c r="B158" s="175">
        <v>0.83</v>
      </c>
      <c r="C158" s="178" t="s">
        <v>344</v>
      </c>
      <c r="D158" s="177" t="s">
        <v>211</v>
      </c>
      <c r="E158" s="552">
        <v>127</v>
      </c>
      <c r="F158" s="552">
        <v>81</v>
      </c>
      <c r="G158" s="552">
        <v>54</v>
      </c>
      <c r="H158" s="552">
        <v>445</v>
      </c>
      <c r="I158" s="659">
        <v>432</v>
      </c>
      <c r="J158" s="659">
        <v>69</v>
      </c>
      <c r="K158" s="659" t="s">
        <v>1346</v>
      </c>
      <c r="L158" s="659" t="s">
        <v>1346</v>
      </c>
      <c r="M158" s="928">
        <v>128</v>
      </c>
      <c r="N158" s="929">
        <v>115</v>
      </c>
      <c r="O158" s="929">
        <v>144</v>
      </c>
      <c r="P158" s="929">
        <v>292</v>
      </c>
      <c r="Q158" s="747">
        <f t="shared" si="3"/>
        <v>1887</v>
      </c>
      <c r="R158" s="1358"/>
      <c r="S158" s="1361"/>
    </row>
    <row r="159" spans="1:19" ht="13.5" customHeight="1">
      <c r="A159" s="1036" t="s">
        <v>345</v>
      </c>
      <c r="B159" s="175">
        <v>8.6</v>
      </c>
      <c r="C159" s="178" t="s">
        <v>346</v>
      </c>
      <c r="D159" s="177" t="s">
        <v>241</v>
      </c>
      <c r="E159" s="552">
        <v>2678.3960000000043</v>
      </c>
      <c r="F159" s="552">
        <v>2274.9160000000084</v>
      </c>
      <c r="G159" s="552">
        <v>2664.9139999999825</v>
      </c>
      <c r="H159" s="552">
        <v>2344.804000000011</v>
      </c>
      <c r="I159" s="659">
        <v>2066.75</v>
      </c>
      <c r="J159" s="659">
        <v>1106.2239999999947</v>
      </c>
      <c r="K159" s="659">
        <v>313.446</v>
      </c>
      <c r="L159" s="659">
        <v>269.7799999999807</v>
      </c>
      <c r="M159" s="928">
        <v>752.34600000002</v>
      </c>
      <c r="N159" s="928">
        <v>1080.995999999999</v>
      </c>
      <c r="O159" s="1039">
        <v>1859.7319999999963</v>
      </c>
      <c r="P159" s="1039">
        <v>2442.579999999991</v>
      </c>
      <c r="Q159" s="747">
        <f t="shared" si="3"/>
        <v>19854.883999999987</v>
      </c>
      <c r="R159" s="1359"/>
      <c r="S159" s="1361"/>
    </row>
    <row r="160" spans="1:19" ht="13.5" customHeight="1">
      <c r="A160" s="1036" t="s">
        <v>347</v>
      </c>
      <c r="B160" s="175">
        <v>10.6</v>
      </c>
      <c r="C160" s="1035" t="s">
        <v>348</v>
      </c>
      <c r="D160" s="177" t="s">
        <v>241</v>
      </c>
      <c r="E160" s="552">
        <v>2330.987399999984</v>
      </c>
      <c r="F160" s="552">
        <v>3155.523</v>
      </c>
      <c r="G160" s="552">
        <v>2484.4259999999995</v>
      </c>
      <c r="H160" s="552">
        <v>6391.098000000001</v>
      </c>
      <c r="I160" s="659">
        <v>2600.472</v>
      </c>
      <c r="J160" s="659">
        <v>647.1570000000002</v>
      </c>
      <c r="K160" s="659">
        <v>250.698</v>
      </c>
      <c r="L160" s="659">
        <v>355.25700000000063</v>
      </c>
      <c r="M160" s="928">
        <v>646.904999999999</v>
      </c>
      <c r="N160" s="928">
        <v>743.085</v>
      </c>
      <c r="O160" s="1039">
        <v>2154.8520000000017</v>
      </c>
      <c r="P160" s="1039">
        <v>3981.2219999999975</v>
      </c>
      <c r="Q160" s="747">
        <f t="shared" si="3"/>
        <v>25741.682399999987</v>
      </c>
      <c r="R160" s="1358"/>
      <c r="S160" s="1361"/>
    </row>
    <row r="161" spans="1:19" ht="13.5" customHeight="1">
      <c r="A161" s="1036" t="s">
        <v>349</v>
      </c>
      <c r="B161" s="175">
        <v>2.5</v>
      </c>
      <c r="C161" s="1035" t="s">
        <v>350</v>
      </c>
      <c r="D161" s="177" t="s">
        <v>202</v>
      </c>
      <c r="E161" s="552">
        <v>1155.0000000000011</v>
      </c>
      <c r="F161" s="552">
        <v>744.9999999999989</v>
      </c>
      <c r="G161" s="552">
        <v>1125</v>
      </c>
      <c r="H161" s="552">
        <v>1250</v>
      </c>
      <c r="I161" s="659">
        <v>600</v>
      </c>
      <c r="J161" s="659">
        <v>422.15000000000225</v>
      </c>
      <c r="K161" s="659">
        <v>233</v>
      </c>
      <c r="L161" s="659">
        <v>179.425</v>
      </c>
      <c r="M161" s="928">
        <v>186.80000000000004</v>
      </c>
      <c r="N161" s="928">
        <v>213.925</v>
      </c>
      <c r="O161" s="1039">
        <v>433.7</v>
      </c>
      <c r="P161" s="1039">
        <v>802.1749999999998</v>
      </c>
      <c r="Q161" s="747">
        <f t="shared" si="3"/>
        <v>7346.175000000003</v>
      </c>
      <c r="R161" s="1359"/>
      <c r="S161" s="1361"/>
    </row>
    <row r="162" spans="1:19" ht="13.5" customHeight="1">
      <c r="A162" s="1036" t="s">
        <v>351</v>
      </c>
      <c r="B162" s="175">
        <v>0.84</v>
      </c>
      <c r="C162" s="1803" t="s">
        <v>352</v>
      </c>
      <c r="D162" s="179" t="s">
        <v>202</v>
      </c>
      <c r="E162" s="552">
        <v>433.3800000000008</v>
      </c>
      <c r="F162" s="552">
        <v>298.1099999999997</v>
      </c>
      <c r="G162" s="552">
        <v>295.9799999999995</v>
      </c>
      <c r="H162" s="552">
        <v>546.5100000000002</v>
      </c>
      <c r="I162" s="659">
        <v>431.1599999999994</v>
      </c>
      <c r="J162" s="659">
        <v>120.72000000000071</v>
      </c>
      <c r="K162" s="659">
        <v>33.888</v>
      </c>
      <c r="L162" s="659">
        <v>34.650000000000546</v>
      </c>
      <c r="M162" s="928">
        <v>82.46999999999935</v>
      </c>
      <c r="N162" s="928">
        <v>80.94000000000005</v>
      </c>
      <c r="O162" s="1040">
        <v>144.48000000000093</v>
      </c>
      <c r="P162" s="1040">
        <v>600.2909999999993</v>
      </c>
      <c r="Q162" s="747">
        <f t="shared" si="3"/>
        <v>3102.5790000000006</v>
      </c>
      <c r="R162" s="1358"/>
      <c r="S162" s="1361"/>
    </row>
    <row r="163" spans="1:19" ht="13.5" customHeight="1">
      <c r="A163" s="1036" t="s">
        <v>353</v>
      </c>
      <c r="B163" s="175">
        <v>0.83</v>
      </c>
      <c r="C163" s="1803"/>
      <c r="D163" s="179" t="s">
        <v>202</v>
      </c>
      <c r="E163" s="552">
        <v>506.6040000000012</v>
      </c>
      <c r="F163" s="552">
        <v>365.14800000000105</v>
      </c>
      <c r="G163" s="552">
        <v>370.50300000000055</v>
      </c>
      <c r="H163" s="552">
        <v>680.9220000000005</v>
      </c>
      <c r="I163" s="659">
        <v>394.06499999999875</v>
      </c>
      <c r="J163" s="659">
        <v>135.867000000002</v>
      </c>
      <c r="K163" s="659">
        <v>28.92</v>
      </c>
      <c r="L163" s="659">
        <v>55.77600000000166</v>
      </c>
      <c r="M163" s="928">
        <v>135.12900000000445</v>
      </c>
      <c r="N163" s="928">
        <v>135.64199999999983</v>
      </c>
      <c r="O163" s="1040">
        <v>228.52799999999843</v>
      </c>
      <c r="P163" s="1040">
        <v>406.88999999999896</v>
      </c>
      <c r="Q163" s="747">
        <f t="shared" si="3"/>
        <v>3443.9940000000074</v>
      </c>
      <c r="R163" s="1359"/>
      <c r="S163" s="1361"/>
    </row>
    <row r="164" spans="1:19" ht="13.5" customHeight="1">
      <c r="A164" s="1036" t="s">
        <v>354</v>
      </c>
      <c r="B164" s="185">
        <v>1.57</v>
      </c>
      <c r="C164" s="186" t="s">
        <v>355</v>
      </c>
      <c r="D164" s="181" t="s">
        <v>321</v>
      </c>
      <c r="E164" s="552">
        <v>845.8800000000001</v>
      </c>
      <c r="F164" s="552">
        <v>841.9499999999989</v>
      </c>
      <c r="G164" s="552">
        <v>901.0200000000004</v>
      </c>
      <c r="H164" s="552">
        <v>647.0100000000002</v>
      </c>
      <c r="I164" s="659">
        <v>681</v>
      </c>
      <c r="J164" s="659">
        <v>643.0200000000004</v>
      </c>
      <c r="K164" s="659">
        <v>620.4</v>
      </c>
      <c r="L164" s="659">
        <v>585.5699999999988</v>
      </c>
      <c r="M164" s="928">
        <v>336.930000000001</v>
      </c>
      <c r="N164" s="928">
        <v>641.76</v>
      </c>
      <c r="O164" s="1039">
        <v>729.3900000000003</v>
      </c>
      <c r="P164" s="1039">
        <v>993.6299999999975</v>
      </c>
      <c r="Q164" s="747">
        <f t="shared" si="3"/>
        <v>8467.559999999998</v>
      </c>
      <c r="R164" s="1358"/>
      <c r="S164" s="1361"/>
    </row>
    <row r="165" spans="1:19" ht="13.5" customHeight="1">
      <c r="A165" s="1036" t="s">
        <v>356</v>
      </c>
      <c r="B165" s="175">
        <v>1.71</v>
      </c>
      <c r="C165" s="178" t="s">
        <v>357</v>
      </c>
      <c r="D165" s="177" t="s">
        <v>211</v>
      </c>
      <c r="E165" s="552">
        <v>1089.698399999999</v>
      </c>
      <c r="F165" s="552">
        <v>1023.5042999999957</v>
      </c>
      <c r="G165" s="552">
        <v>1374.7167000000047</v>
      </c>
      <c r="H165" s="552">
        <v>2091.1652999999974</v>
      </c>
      <c r="I165" s="659">
        <v>858.3876000000025</v>
      </c>
      <c r="J165" s="659">
        <v>83.1348</v>
      </c>
      <c r="K165" s="659">
        <v>0</v>
      </c>
      <c r="L165" s="659">
        <v>0.16379999999999875</v>
      </c>
      <c r="M165" s="928">
        <v>86.7384</v>
      </c>
      <c r="N165" s="928">
        <v>496.5912</v>
      </c>
      <c r="O165" s="1039">
        <v>912.2967</v>
      </c>
      <c r="P165" s="1039">
        <v>2170.0602000000003</v>
      </c>
      <c r="Q165" s="747">
        <f t="shared" si="3"/>
        <v>10186.457400000001</v>
      </c>
      <c r="R165" s="1359"/>
      <c r="S165" s="1361"/>
    </row>
    <row r="166" spans="1:19" ht="13.5" customHeight="1">
      <c r="A166" s="1036" t="s">
        <v>358</v>
      </c>
      <c r="B166" s="175">
        <v>0.5</v>
      </c>
      <c r="C166" s="1035" t="s">
        <v>359</v>
      </c>
      <c r="D166" s="177" t="s">
        <v>202</v>
      </c>
      <c r="E166" s="552">
        <v>80.21499999999992</v>
      </c>
      <c r="F166" s="552">
        <v>63.06500000000006</v>
      </c>
      <c r="G166" s="552">
        <v>70.41499999999998</v>
      </c>
      <c r="H166" s="552">
        <v>166.90499999999997</v>
      </c>
      <c r="I166" s="659">
        <v>55.79500000000007</v>
      </c>
      <c r="J166" s="659">
        <v>1.2389999999998054</v>
      </c>
      <c r="K166" s="659">
        <v>0</v>
      </c>
      <c r="L166" s="659">
        <v>0</v>
      </c>
      <c r="M166" s="928">
        <v>46.95600000000013</v>
      </c>
      <c r="N166" s="928">
        <v>21.635</v>
      </c>
      <c r="O166" s="1039">
        <v>98.282</v>
      </c>
      <c r="P166" s="1039">
        <v>210.86900000000003</v>
      </c>
      <c r="Q166" s="747">
        <f t="shared" si="3"/>
        <v>815.376</v>
      </c>
      <c r="R166" s="1358"/>
      <c r="S166" s="1361"/>
    </row>
    <row r="167" spans="1:19" ht="13.5" customHeight="1">
      <c r="A167" s="1036" t="s">
        <v>360</v>
      </c>
      <c r="B167" s="175">
        <v>0.62</v>
      </c>
      <c r="C167" s="1035" t="s">
        <v>361</v>
      </c>
      <c r="D167" s="181" t="s">
        <v>362</v>
      </c>
      <c r="E167" s="552">
        <v>138.55600000000007</v>
      </c>
      <c r="F167" s="552">
        <v>121.26599999999962</v>
      </c>
      <c r="G167" s="552">
        <v>128.21600000000035</v>
      </c>
      <c r="H167" s="552">
        <v>219.4520000000002</v>
      </c>
      <c r="I167" s="659">
        <v>111.58599999999979</v>
      </c>
      <c r="J167" s="659">
        <v>51.76600000000007</v>
      </c>
      <c r="K167" s="659">
        <v>29.632</v>
      </c>
      <c r="L167" s="659">
        <v>40.89599999999973</v>
      </c>
      <c r="M167" s="928">
        <v>68.9640000000004</v>
      </c>
      <c r="N167" s="928">
        <v>114.77599999999939</v>
      </c>
      <c r="O167" s="1039">
        <v>130.88000000000056</v>
      </c>
      <c r="P167" s="1039">
        <v>181.28799999999956</v>
      </c>
      <c r="Q167" s="747">
        <f t="shared" si="3"/>
        <v>1337.2779999999998</v>
      </c>
      <c r="R167" s="1358"/>
      <c r="S167" s="1361"/>
    </row>
    <row r="168" spans="1:19" ht="13.5" customHeight="1">
      <c r="A168" s="1036" t="s">
        <v>363</v>
      </c>
      <c r="B168" s="175">
        <v>3.87</v>
      </c>
      <c r="C168" s="1035" t="s">
        <v>364</v>
      </c>
      <c r="D168" s="177" t="s">
        <v>213</v>
      </c>
      <c r="E168" s="552">
        <v>528.7799999999993</v>
      </c>
      <c r="F168" s="552">
        <v>59.18999999999869</v>
      </c>
      <c r="G168" s="552">
        <v>115.46999999999798</v>
      </c>
      <c r="H168" s="552">
        <v>1429.1100000000051</v>
      </c>
      <c r="I168" s="659">
        <v>1214.0399999999954</v>
      </c>
      <c r="J168" s="659">
        <v>191.87999999999874</v>
      </c>
      <c r="K168" s="659">
        <v>0</v>
      </c>
      <c r="L168" s="659">
        <v>0</v>
      </c>
      <c r="M168" s="928">
        <v>274.8000000000093</v>
      </c>
      <c r="N168" s="928">
        <v>254.21999999999116</v>
      </c>
      <c r="O168" s="1039">
        <v>494.5199999999977</v>
      </c>
      <c r="P168" s="1039">
        <v>1300.260000000003</v>
      </c>
      <c r="Q168" s="747">
        <f t="shared" si="3"/>
        <v>5862.269999999996</v>
      </c>
      <c r="R168" s="1359"/>
      <c r="S168" s="1361"/>
    </row>
    <row r="169" spans="1:19" ht="13.5" customHeight="1">
      <c r="A169" s="1036" t="s">
        <v>365</v>
      </c>
      <c r="B169" s="175">
        <v>1.95</v>
      </c>
      <c r="C169" s="1803" t="s">
        <v>148</v>
      </c>
      <c r="D169" s="187" t="s">
        <v>288</v>
      </c>
      <c r="E169" s="1840">
        <v>386.73359999999974</v>
      </c>
      <c r="F169" s="1840">
        <v>299.5768000000009</v>
      </c>
      <c r="G169" s="1840">
        <v>420.67519999999894</v>
      </c>
      <c r="H169" s="1840">
        <v>1804.0880000000009</v>
      </c>
      <c r="I169" s="1816">
        <v>606.4647999999983</v>
      </c>
      <c r="J169" s="1816">
        <v>0</v>
      </c>
      <c r="K169" s="1816">
        <v>0</v>
      </c>
      <c r="L169" s="1816">
        <v>0</v>
      </c>
      <c r="M169" s="1816">
        <v>153.94560000000237</v>
      </c>
      <c r="N169" s="1816">
        <v>350</v>
      </c>
      <c r="O169" s="1791">
        <v>691.5696000000007</v>
      </c>
      <c r="P169" s="1791">
        <v>949.3768000000009</v>
      </c>
      <c r="Q169" s="1865">
        <f t="shared" si="3"/>
        <v>5662.430400000003</v>
      </c>
      <c r="R169" s="1358"/>
      <c r="S169" s="1361"/>
    </row>
    <row r="170" spans="1:19" ht="13.5" customHeight="1">
      <c r="A170" s="1036" t="s">
        <v>366</v>
      </c>
      <c r="B170" s="175">
        <v>2.3</v>
      </c>
      <c r="C170" s="1803"/>
      <c r="D170" s="187" t="s">
        <v>288</v>
      </c>
      <c r="E170" s="1845"/>
      <c r="F170" s="1845"/>
      <c r="G170" s="1845"/>
      <c r="H170" s="1845"/>
      <c r="I170" s="1842"/>
      <c r="J170" s="1842"/>
      <c r="K170" s="1842"/>
      <c r="L170" s="1842"/>
      <c r="M170" s="1842"/>
      <c r="N170" s="1842"/>
      <c r="O170" s="1798"/>
      <c r="P170" s="1798"/>
      <c r="Q170" s="1866"/>
      <c r="R170" s="1359"/>
      <c r="S170" s="1361"/>
    </row>
    <row r="171" spans="1:19" ht="13.5" customHeight="1">
      <c r="A171" s="1036" t="s">
        <v>367</v>
      </c>
      <c r="B171" s="175">
        <v>0.25</v>
      </c>
      <c r="C171" s="1803"/>
      <c r="D171" s="187" t="s">
        <v>288</v>
      </c>
      <c r="E171" s="1841"/>
      <c r="F171" s="1841"/>
      <c r="G171" s="1841"/>
      <c r="H171" s="1841"/>
      <c r="I171" s="1817"/>
      <c r="J171" s="1817"/>
      <c r="K171" s="1817"/>
      <c r="L171" s="1817"/>
      <c r="M171" s="1817"/>
      <c r="N171" s="1817"/>
      <c r="O171" s="1792"/>
      <c r="P171" s="1792"/>
      <c r="Q171" s="1867"/>
      <c r="R171" s="1358"/>
      <c r="S171" s="1361"/>
    </row>
    <row r="172" spans="1:19" ht="13.5" customHeight="1">
      <c r="A172" s="1036" t="s">
        <v>368</v>
      </c>
      <c r="B172" s="175">
        <v>3.408</v>
      </c>
      <c r="C172" s="1035" t="s">
        <v>369</v>
      </c>
      <c r="D172" s="177" t="s">
        <v>288</v>
      </c>
      <c r="E172" s="552">
        <v>434.3499999999997</v>
      </c>
      <c r="F172" s="552">
        <v>324.2050000000004</v>
      </c>
      <c r="G172" s="552">
        <v>371.38499999999965</v>
      </c>
      <c r="H172" s="552">
        <v>280.03499999999997</v>
      </c>
      <c r="I172" s="659">
        <v>199.53500000000076</v>
      </c>
      <c r="J172" s="659">
        <v>148.29499999999962</v>
      </c>
      <c r="K172" s="659">
        <v>99.89</v>
      </c>
      <c r="L172" s="659">
        <v>62.44000000000051</v>
      </c>
      <c r="M172" s="928">
        <v>10.430000000000064</v>
      </c>
      <c r="N172" s="928">
        <v>0.06999999999993634</v>
      </c>
      <c r="O172" s="1039">
        <v>92.15499999999973</v>
      </c>
      <c r="P172" s="1039">
        <v>289.5199999999993</v>
      </c>
      <c r="Q172" s="747">
        <f t="shared" si="3"/>
        <v>2312.3099999999995</v>
      </c>
      <c r="R172" s="1359"/>
      <c r="S172" s="1361"/>
    </row>
    <row r="173" spans="1:19" ht="13.5" customHeight="1">
      <c r="A173" s="1036" t="s">
        <v>370</v>
      </c>
      <c r="B173" s="175">
        <v>5.349</v>
      </c>
      <c r="C173" s="1036" t="s">
        <v>147</v>
      </c>
      <c r="D173" s="177" t="s">
        <v>288</v>
      </c>
      <c r="E173" s="552">
        <v>969.4860000000035</v>
      </c>
      <c r="F173" s="552">
        <v>683.1929999999979</v>
      </c>
      <c r="G173" s="552">
        <v>812.3114999999982</v>
      </c>
      <c r="H173" s="552">
        <v>3079.072500000004</v>
      </c>
      <c r="I173" s="659">
        <v>2965.9874999999993</v>
      </c>
      <c r="J173" s="659">
        <v>842.3730000000012</v>
      </c>
      <c r="K173" s="659">
        <v>0</v>
      </c>
      <c r="L173" s="659">
        <v>248.2934999999993</v>
      </c>
      <c r="M173" s="928">
        <v>263.30850000000197</v>
      </c>
      <c r="N173" s="928">
        <v>350.9204999999981</v>
      </c>
      <c r="O173" s="1039">
        <v>681.0510000000008</v>
      </c>
      <c r="P173" s="1039">
        <v>1658.1704999999981</v>
      </c>
      <c r="Q173" s="747">
        <f t="shared" si="3"/>
        <v>12554.167500000005</v>
      </c>
      <c r="R173" s="1358"/>
      <c r="S173" s="1361"/>
    </row>
    <row r="174" spans="1:19" ht="13.5" customHeight="1">
      <c r="A174" s="1036" t="s">
        <v>371</v>
      </c>
      <c r="B174" s="175">
        <v>2.5</v>
      </c>
      <c r="C174" s="1035" t="s">
        <v>372</v>
      </c>
      <c r="D174" s="181" t="s">
        <v>288</v>
      </c>
      <c r="E174" s="552">
        <v>506.0930000000001</v>
      </c>
      <c r="F174" s="552">
        <v>500.4405000000004</v>
      </c>
      <c r="G174" s="552">
        <v>360.92349999999954</v>
      </c>
      <c r="H174" s="552">
        <v>1018.4964999999996</v>
      </c>
      <c r="I174" s="659">
        <v>488.94649999999984</v>
      </c>
      <c r="J174" s="659">
        <v>48.21950000000015</v>
      </c>
      <c r="K174" s="659">
        <v>0.007</v>
      </c>
      <c r="L174" s="659">
        <v>0</v>
      </c>
      <c r="M174" s="928">
        <v>0</v>
      </c>
      <c r="N174" s="928">
        <v>13.489000000000145</v>
      </c>
      <c r="O174" s="1039">
        <v>265.6220000000002</v>
      </c>
      <c r="P174" s="1039">
        <v>725.6235</v>
      </c>
      <c r="Q174" s="747">
        <f t="shared" si="3"/>
        <v>3927.8610000000003</v>
      </c>
      <c r="R174" s="1358"/>
      <c r="S174" s="1361"/>
    </row>
    <row r="175" spans="1:19" ht="13.5" customHeight="1">
      <c r="A175" s="1036" t="s">
        <v>373</v>
      </c>
      <c r="B175" s="175">
        <v>1.36</v>
      </c>
      <c r="C175" s="1035" t="s">
        <v>374</v>
      </c>
      <c r="D175" s="181" t="s">
        <v>288</v>
      </c>
      <c r="E175" s="552">
        <v>81.89999999999992</v>
      </c>
      <c r="F175" s="552">
        <v>48.29999999999984</v>
      </c>
      <c r="G175" s="552">
        <v>98</v>
      </c>
      <c r="H175" s="552">
        <v>72.80000000000024</v>
      </c>
      <c r="I175" s="659">
        <v>0</v>
      </c>
      <c r="J175" s="659">
        <v>0</v>
      </c>
      <c r="K175" s="659">
        <v>0</v>
      </c>
      <c r="L175" s="659">
        <v>0</v>
      </c>
      <c r="M175" s="928">
        <v>0</v>
      </c>
      <c r="N175" s="928">
        <v>0</v>
      </c>
      <c r="O175" s="1039">
        <v>11.89999999999992</v>
      </c>
      <c r="P175" s="1039">
        <v>43.39999999999992</v>
      </c>
      <c r="Q175" s="747">
        <f t="shared" si="3"/>
        <v>356.29999999999984</v>
      </c>
      <c r="R175" s="1359"/>
      <c r="S175" s="1361"/>
    </row>
    <row r="176" spans="1:19" ht="13.5" customHeight="1">
      <c r="A176" s="1036" t="s">
        <v>375</v>
      </c>
      <c r="B176" s="175">
        <v>1.3</v>
      </c>
      <c r="C176" s="1035" t="s">
        <v>376</v>
      </c>
      <c r="D176" s="188" t="s">
        <v>362</v>
      </c>
      <c r="E176" s="552">
        <v>272.8120000000008</v>
      </c>
      <c r="F176" s="552">
        <v>377.34400000000005</v>
      </c>
      <c r="G176" s="552">
        <v>529.0279999999993</v>
      </c>
      <c r="H176" s="552">
        <v>400.0799999999999</v>
      </c>
      <c r="I176" s="659">
        <v>140.60000000000034</v>
      </c>
      <c r="J176" s="659">
        <v>5.512000000000626</v>
      </c>
      <c r="K176" s="659">
        <v>0</v>
      </c>
      <c r="L176" s="659">
        <v>0</v>
      </c>
      <c r="M176" s="928">
        <v>0</v>
      </c>
      <c r="N176" s="928">
        <v>6.799999999998363</v>
      </c>
      <c r="O176" s="1039">
        <v>80.41200000000116</v>
      </c>
      <c r="P176" s="1039">
        <v>236.21199999999862</v>
      </c>
      <c r="Q176" s="747">
        <f t="shared" si="3"/>
        <v>2048.7999999999993</v>
      </c>
      <c r="R176" s="1358"/>
      <c r="S176" s="1361"/>
    </row>
    <row r="177" spans="1:19" ht="13.5" customHeight="1">
      <c r="A177" s="1036" t="s">
        <v>377</v>
      </c>
      <c r="B177" s="175">
        <v>1.9</v>
      </c>
      <c r="C177" s="1035" t="s">
        <v>149</v>
      </c>
      <c r="D177" s="188" t="s">
        <v>288</v>
      </c>
      <c r="E177" s="552">
        <v>249.2279999999999</v>
      </c>
      <c r="F177" s="552">
        <v>145.15199999999953</v>
      </c>
      <c r="G177" s="552">
        <v>163.54800000000023</v>
      </c>
      <c r="H177" s="552">
        <v>943.0470000000008</v>
      </c>
      <c r="I177" s="659">
        <v>240.02999999999895</v>
      </c>
      <c r="J177" s="659">
        <v>0</v>
      </c>
      <c r="K177" s="659">
        <v>0</v>
      </c>
      <c r="L177" s="659">
        <v>0</v>
      </c>
      <c r="M177" s="928">
        <v>0</v>
      </c>
      <c r="N177" s="928">
        <v>100.29600000000022</v>
      </c>
      <c r="O177" s="1039">
        <v>340.5780000000004</v>
      </c>
      <c r="P177" s="1039">
        <v>530.6699999999996</v>
      </c>
      <c r="Q177" s="747">
        <f t="shared" si="3"/>
        <v>2712.5489999999995</v>
      </c>
      <c r="R177" s="1359"/>
      <c r="S177" s="1361"/>
    </row>
    <row r="178" spans="1:19" ht="13.5" customHeight="1">
      <c r="A178" s="1037" t="s">
        <v>395</v>
      </c>
      <c r="B178" s="189">
        <v>0.998</v>
      </c>
      <c r="C178" s="190" t="s">
        <v>378</v>
      </c>
      <c r="D178" s="191" t="s">
        <v>288</v>
      </c>
      <c r="E178" s="552">
        <v>359.145500000001</v>
      </c>
      <c r="F178" s="552">
        <v>265.46449999999913</v>
      </c>
      <c r="G178" s="552">
        <v>242.32950000000028</v>
      </c>
      <c r="H178" s="552">
        <v>660.5094999999988</v>
      </c>
      <c r="I178" s="659">
        <v>307.16000000000076</v>
      </c>
      <c r="J178" s="659">
        <v>36.05350000000001</v>
      </c>
      <c r="K178" s="659">
        <v>0.532</v>
      </c>
      <c r="L178" s="659">
        <v>0</v>
      </c>
      <c r="M178" s="928">
        <v>8.568000000000001</v>
      </c>
      <c r="N178" s="928">
        <v>22.351</v>
      </c>
      <c r="O178" s="1039">
        <v>146.4785</v>
      </c>
      <c r="P178" s="1039">
        <v>245.83650000000003</v>
      </c>
      <c r="Q178" s="747">
        <f t="shared" si="3"/>
        <v>2294.4285</v>
      </c>
      <c r="R178" s="1358"/>
      <c r="S178" s="1361"/>
    </row>
    <row r="179" spans="1:19" ht="13.5" customHeight="1">
      <c r="A179" s="1038" t="s">
        <v>508</v>
      </c>
      <c r="B179" s="192">
        <v>1.215</v>
      </c>
      <c r="C179" s="193" t="s">
        <v>378</v>
      </c>
      <c r="D179" s="177" t="s">
        <v>241</v>
      </c>
      <c r="E179" s="552">
        <v>240.14900000000011</v>
      </c>
      <c r="F179" s="552">
        <v>137.52900000000113</v>
      </c>
      <c r="G179" s="552">
        <v>131.5824999999993</v>
      </c>
      <c r="H179" s="552">
        <v>610.036000000001</v>
      </c>
      <c r="I179" s="659">
        <v>344.91799999999967</v>
      </c>
      <c r="J179" s="659">
        <v>86.506</v>
      </c>
      <c r="K179" s="659">
        <v>17.22</v>
      </c>
      <c r="L179" s="659">
        <v>0</v>
      </c>
      <c r="M179" s="928">
        <v>3.835999999999988</v>
      </c>
      <c r="N179" s="928">
        <v>9.2295</v>
      </c>
      <c r="O179" s="1039">
        <v>113.16900000000001</v>
      </c>
      <c r="P179" s="1039">
        <v>201.98500000000004</v>
      </c>
      <c r="Q179" s="747">
        <f t="shared" si="3"/>
        <v>1896.1600000000014</v>
      </c>
      <c r="R179" s="1359"/>
      <c r="S179" s="1361"/>
    </row>
    <row r="180" spans="1:19" ht="13.5" customHeight="1">
      <c r="A180" s="1038" t="s">
        <v>477</v>
      </c>
      <c r="B180" s="192">
        <v>4</v>
      </c>
      <c r="C180" s="193" t="s">
        <v>479</v>
      </c>
      <c r="D180" s="177" t="s">
        <v>241</v>
      </c>
      <c r="E180" s="552">
        <v>976.98669412</v>
      </c>
      <c r="F180" s="552">
        <v>762.21399412</v>
      </c>
      <c r="G180" s="552">
        <v>940.7903350800001</v>
      </c>
      <c r="H180" s="552">
        <v>2269.0878936799995</v>
      </c>
      <c r="I180" s="659">
        <v>1349.17346504</v>
      </c>
      <c r="J180" s="659">
        <v>430.34721808000063</v>
      </c>
      <c r="K180" s="659">
        <v>244.46860531999937</v>
      </c>
      <c r="L180" s="659">
        <v>208.64451896000006</v>
      </c>
      <c r="M180" s="928">
        <v>191.11906664000017</v>
      </c>
      <c r="N180" s="928">
        <v>215.5172453600003</v>
      </c>
      <c r="O180" s="1039">
        <v>398.9331311599995</v>
      </c>
      <c r="P180" s="1039">
        <v>1007.942599280001</v>
      </c>
      <c r="Q180" s="747">
        <f t="shared" si="3"/>
        <v>8995.224766840001</v>
      </c>
      <c r="R180" s="1358"/>
      <c r="S180" s="1361"/>
    </row>
    <row r="181" spans="1:19" ht="13.5" customHeight="1">
      <c r="A181" s="1038" t="s">
        <v>575</v>
      </c>
      <c r="B181" s="192">
        <v>2.2</v>
      </c>
      <c r="C181" s="1846" t="s">
        <v>568</v>
      </c>
      <c r="D181" s="177" t="s">
        <v>241</v>
      </c>
      <c r="E181" s="1840">
        <v>964.9074000000008</v>
      </c>
      <c r="F181" s="1840">
        <v>1313.336999999999</v>
      </c>
      <c r="G181" s="1840">
        <v>1102.1634000000004</v>
      </c>
      <c r="H181" s="1840">
        <v>2088.5598000000036</v>
      </c>
      <c r="I181" s="1840">
        <v>980.6622000000001</v>
      </c>
      <c r="J181" s="1840">
        <v>250.25279999999998</v>
      </c>
      <c r="K181" s="1840">
        <v>79.5948</v>
      </c>
      <c r="L181" s="1840">
        <v>127.3493999999999</v>
      </c>
      <c r="M181" s="1840">
        <v>293.1509999999997</v>
      </c>
      <c r="N181" s="1840">
        <v>425.8584000000006</v>
      </c>
      <c r="O181" s="1791">
        <v>813.7091999999998</v>
      </c>
      <c r="P181" s="1791">
        <v>1170.2441999999994</v>
      </c>
      <c r="Q181" s="1865">
        <f t="shared" si="3"/>
        <v>9609.789600000004</v>
      </c>
      <c r="R181" s="1359"/>
      <c r="S181" s="1361"/>
    </row>
    <row r="182" spans="1:19" ht="13.5" customHeight="1">
      <c r="A182" s="1038" t="s">
        <v>569</v>
      </c>
      <c r="B182" s="192">
        <v>3.3</v>
      </c>
      <c r="C182" s="1847"/>
      <c r="D182" s="177" t="s">
        <v>241</v>
      </c>
      <c r="E182" s="1841"/>
      <c r="F182" s="1841"/>
      <c r="G182" s="1841"/>
      <c r="H182" s="1841"/>
      <c r="I182" s="1841"/>
      <c r="J182" s="1841"/>
      <c r="K182" s="1841"/>
      <c r="L182" s="1841"/>
      <c r="M182" s="1841"/>
      <c r="N182" s="1841"/>
      <c r="O182" s="1792"/>
      <c r="P182" s="1792"/>
      <c r="Q182" s="1867"/>
      <c r="R182" s="1358"/>
      <c r="S182" s="1361"/>
    </row>
    <row r="183" spans="1:19" ht="13.5" customHeight="1">
      <c r="A183" s="1038" t="s">
        <v>478</v>
      </c>
      <c r="B183" s="192">
        <v>0.315</v>
      </c>
      <c r="C183" s="193" t="s">
        <v>480</v>
      </c>
      <c r="D183" s="177" t="s">
        <v>241</v>
      </c>
      <c r="E183" s="552">
        <v>46.740999999999985</v>
      </c>
      <c r="F183" s="552">
        <v>34.04899999999998</v>
      </c>
      <c r="G183" s="552">
        <v>36.95800000000054</v>
      </c>
      <c r="H183" s="552">
        <v>153.47599999999966</v>
      </c>
      <c r="I183" s="659">
        <v>51.61499999999978</v>
      </c>
      <c r="J183" s="659">
        <v>14.931000000000495</v>
      </c>
      <c r="K183" s="659">
        <v>12.519000000000233</v>
      </c>
      <c r="L183" s="659">
        <v>5.125999999999294</v>
      </c>
      <c r="M183" s="928">
        <v>0</v>
      </c>
      <c r="N183" s="928">
        <v>10.322000000000116</v>
      </c>
      <c r="O183" s="1039">
        <v>23.663000000000466</v>
      </c>
      <c r="P183" s="1039">
        <v>101.69099999999979</v>
      </c>
      <c r="Q183" s="747">
        <f t="shared" si="3"/>
        <v>491.09100000000035</v>
      </c>
      <c r="R183" s="1359"/>
      <c r="S183" s="1361"/>
    </row>
    <row r="184" spans="1:19" ht="13.5" customHeight="1">
      <c r="A184" s="1038" t="s">
        <v>522</v>
      </c>
      <c r="B184" s="192">
        <v>1</v>
      </c>
      <c r="C184" s="193" t="s">
        <v>74</v>
      </c>
      <c r="D184" s="194" t="s">
        <v>241</v>
      </c>
      <c r="E184" s="552">
        <v>549.31786</v>
      </c>
      <c r="F184" s="552">
        <v>467.11767999999995</v>
      </c>
      <c r="G184" s="552">
        <v>457.7226799999999</v>
      </c>
      <c r="H184" s="552">
        <v>512.8863999999999</v>
      </c>
      <c r="I184" s="659">
        <v>528.01156</v>
      </c>
      <c r="J184" s="659">
        <v>519.95121</v>
      </c>
      <c r="K184" s="659">
        <v>519.194</v>
      </c>
      <c r="L184" s="659">
        <v>376.07224000000025</v>
      </c>
      <c r="M184" s="928">
        <v>268.9188399999999</v>
      </c>
      <c r="N184" s="928">
        <v>436.2808200000003</v>
      </c>
      <c r="O184" s="1039">
        <v>496.4041200000001</v>
      </c>
      <c r="P184" s="1039">
        <v>610.5910199999995</v>
      </c>
      <c r="Q184" s="747">
        <f t="shared" si="3"/>
        <v>5742.46843</v>
      </c>
      <c r="R184" s="1358"/>
      <c r="S184" s="1361"/>
    </row>
    <row r="185" spans="1:19" ht="13.5" customHeight="1">
      <c r="A185" s="202" t="s">
        <v>524</v>
      </c>
      <c r="B185" s="203">
        <v>1.747</v>
      </c>
      <c r="C185" s="204" t="s">
        <v>570</v>
      </c>
      <c r="D185" s="194" t="s">
        <v>241</v>
      </c>
      <c r="E185" s="552">
        <v>410.8440000000009</v>
      </c>
      <c r="F185" s="552">
        <v>368.0579999999991</v>
      </c>
      <c r="G185" s="552">
        <v>423.1710000000021</v>
      </c>
      <c r="H185" s="552">
        <v>1131.5159999999987</v>
      </c>
      <c r="I185" s="659">
        <v>780.0930000000019</v>
      </c>
      <c r="J185" s="659">
        <v>87.97500000000001</v>
      </c>
      <c r="K185" s="659">
        <v>0</v>
      </c>
      <c r="L185" s="659">
        <v>0</v>
      </c>
      <c r="M185" s="928">
        <v>0</v>
      </c>
      <c r="N185" s="928">
        <v>0</v>
      </c>
      <c r="O185" s="1039">
        <v>281.532</v>
      </c>
      <c r="P185" s="1039">
        <v>640.2090000000001</v>
      </c>
      <c r="Q185" s="747">
        <f t="shared" si="3"/>
        <v>4123.398000000003</v>
      </c>
      <c r="R185" s="1359"/>
      <c r="S185" s="1361"/>
    </row>
    <row r="186" spans="1:19" ht="13.5" customHeight="1">
      <c r="A186" s="202" t="s">
        <v>525</v>
      </c>
      <c r="B186" s="205">
        <v>5.8</v>
      </c>
      <c r="C186" s="204" t="s">
        <v>571</v>
      </c>
      <c r="D186" s="194" t="s">
        <v>241</v>
      </c>
      <c r="E186" s="552">
        <v>446.19750000000005</v>
      </c>
      <c r="F186" s="552">
        <v>0</v>
      </c>
      <c r="G186" s="552">
        <v>772.989</v>
      </c>
      <c r="H186" s="630">
        <v>1046.724</v>
      </c>
      <c r="I186" s="659">
        <v>349.7864999999999</v>
      </c>
      <c r="J186" s="659">
        <v>38.188500000000005</v>
      </c>
      <c r="K186" s="659">
        <v>0</v>
      </c>
      <c r="L186" s="659">
        <v>0</v>
      </c>
      <c r="M186" s="928">
        <v>488.9535000000001</v>
      </c>
      <c r="N186" s="928">
        <v>0</v>
      </c>
      <c r="O186" s="1039">
        <v>1039.7730000000006</v>
      </c>
      <c r="P186" s="1039">
        <v>1507.8419999999992</v>
      </c>
      <c r="Q186" s="747">
        <f t="shared" si="3"/>
        <v>5690.454</v>
      </c>
      <c r="R186" s="1358"/>
      <c r="S186" s="1361"/>
    </row>
    <row r="187" spans="1:19" ht="13.5" customHeight="1">
      <c r="A187" s="195" t="s">
        <v>551</v>
      </c>
      <c r="B187" s="203">
        <v>1.7</v>
      </c>
      <c r="C187" s="204" t="s">
        <v>572</v>
      </c>
      <c r="D187" s="194" t="s">
        <v>241</v>
      </c>
      <c r="E187" s="552">
        <v>285.35199999999986</v>
      </c>
      <c r="F187" s="552">
        <v>257.6839999999993</v>
      </c>
      <c r="G187" s="552">
        <v>380.13800000000083</v>
      </c>
      <c r="H187" s="552">
        <v>363.4079999999994</v>
      </c>
      <c r="I187" s="659">
        <v>368.96800000000076</v>
      </c>
      <c r="J187" s="659">
        <v>251.43399999999932</v>
      </c>
      <c r="K187" s="659">
        <v>168.24</v>
      </c>
      <c r="L187" s="659">
        <v>140.3100000000013</v>
      </c>
      <c r="M187" s="928">
        <v>208.47199999999978</v>
      </c>
      <c r="N187" s="928">
        <v>227.90400000000048</v>
      </c>
      <c r="O187" s="1039">
        <v>208.55199999999968</v>
      </c>
      <c r="P187" s="1039">
        <v>285.637999999999</v>
      </c>
      <c r="Q187" s="747">
        <f t="shared" si="3"/>
        <v>3146.0999999999995</v>
      </c>
      <c r="R187" s="1359"/>
      <c r="S187" s="1361"/>
    </row>
    <row r="188" spans="1:19" ht="13.5" customHeight="1">
      <c r="A188" s="219" t="s">
        <v>573</v>
      </c>
      <c r="B188" s="220">
        <v>2.4</v>
      </c>
      <c r="C188" s="221" t="s">
        <v>574</v>
      </c>
      <c r="D188" s="222" t="s">
        <v>241</v>
      </c>
      <c r="E188" s="552">
        <v>325.5000000000004</v>
      </c>
      <c r="F188" s="552">
        <v>301.0000000000008</v>
      </c>
      <c r="G188" s="552">
        <v>385</v>
      </c>
      <c r="H188" s="552">
        <v>461.9999999999996</v>
      </c>
      <c r="I188" s="659">
        <v>276.4999999999992</v>
      </c>
      <c r="J188" s="659">
        <v>175</v>
      </c>
      <c r="K188" s="659">
        <v>101.5</v>
      </c>
      <c r="L188" s="659">
        <v>157.5</v>
      </c>
      <c r="M188" s="928">
        <v>195.9999999999988</v>
      </c>
      <c r="N188" s="928">
        <v>203.0000000000004</v>
      </c>
      <c r="O188" s="1039">
        <v>216.9999999999996</v>
      </c>
      <c r="P188" s="1039">
        <v>283.5000000000008</v>
      </c>
      <c r="Q188" s="747">
        <f t="shared" si="3"/>
        <v>3083.4999999999995</v>
      </c>
      <c r="R188" s="1358"/>
      <c r="S188" s="1361"/>
    </row>
    <row r="189" spans="1:19" ht="13.5" customHeight="1">
      <c r="A189" s="202" t="s">
        <v>616</v>
      </c>
      <c r="B189" s="199">
        <v>0.765</v>
      </c>
      <c r="C189" s="247" t="s">
        <v>615</v>
      </c>
      <c r="D189" s="222" t="s">
        <v>241</v>
      </c>
      <c r="E189" s="552">
        <v>135</v>
      </c>
      <c r="F189" s="552">
        <v>57.400000000000546</v>
      </c>
      <c r="G189" s="552">
        <v>75.59999999999944</v>
      </c>
      <c r="H189" s="552">
        <v>478.20000000000067</v>
      </c>
      <c r="I189" s="659">
        <v>469.39999999999964</v>
      </c>
      <c r="J189" s="659">
        <v>85.80000000000017</v>
      </c>
      <c r="K189" s="659">
        <v>17.399999999999636</v>
      </c>
      <c r="L189" s="659">
        <v>0</v>
      </c>
      <c r="M189" s="928">
        <v>0</v>
      </c>
      <c r="N189" s="928">
        <v>0</v>
      </c>
      <c r="O189" s="1039">
        <v>102</v>
      </c>
      <c r="P189" s="1039">
        <v>227.19999999999982</v>
      </c>
      <c r="Q189" s="747">
        <f t="shared" si="3"/>
        <v>1648</v>
      </c>
      <c r="R189" s="1359"/>
      <c r="S189" s="1361"/>
    </row>
    <row r="190" spans="1:19" ht="13.5" customHeight="1">
      <c r="A190" s="1036" t="s">
        <v>617</v>
      </c>
      <c r="B190" s="248">
        <v>3.1</v>
      </c>
      <c r="C190" s="249" t="s">
        <v>611</v>
      </c>
      <c r="D190" s="222" t="s">
        <v>241</v>
      </c>
      <c r="E190" s="552">
        <v>1034.25</v>
      </c>
      <c r="F190" s="552">
        <v>1891.0499999999943</v>
      </c>
      <c r="G190" s="552">
        <v>1115.1000000000076</v>
      </c>
      <c r="H190" s="552">
        <v>4348.049999999995</v>
      </c>
      <c r="I190" s="659">
        <v>2303.7000000000057</v>
      </c>
      <c r="J190" s="659">
        <v>81.89999999999236</v>
      </c>
      <c r="K190" s="659">
        <v>0</v>
      </c>
      <c r="L190" s="659">
        <v>0</v>
      </c>
      <c r="M190" s="928">
        <v>224.70000000000573</v>
      </c>
      <c r="N190" s="928">
        <v>508.1999999999962</v>
      </c>
      <c r="O190" s="1039">
        <v>1665.3000000000038</v>
      </c>
      <c r="P190" s="1039">
        <v>2565.842999999996</v>
      </c>
      <c r="Q190" s="747">
        <f t="shared" si="3"/>
        <v>15738.092999999997</v>
      </c>
      <c r="R190" s="1358"/>
      <c r="S190" s="1361"/>
    </row>
    <row r="191" spans="1:19" ht="13.5" customHeight="1">
      <c r="A191" s="250" t="s">
        <v>618</v>
      </c>
      <c r="B191" s="251">
        <v>3.4</v>
      </c>
      <c r="C191" s="1036" t="s">
        <v>610</v>
      </c>
      <c r="D191" s="222" t="s">
        <v>241</v>
      </c>
      <c r="E191" s="552">
        <v>180.29550000000017</v>
      </c>
      <c r="F191" s="552">
        <v>162.67499999999973</v>
      </c>
      <c r="G191" s="552">
        <v>83.8244999999997</v>
      </c>
      <c r="H191" s="552">
        <v>617.3055000000004</v>
      </c>
      <c r="I191" s="659">
        <v>491.4600000000005</v>
      </c>
      <c r="J191" s="659">
        <v>61.29599999999937</v>
      </c>
      <c r="K191" s="659">
        <v>0</v>
      </c>
      <c r="L191" s="659">
        <v>0</v>
      </c>
      <c r="M191" s="928">
        <v>0</v>
      </c>
      <c r="N191" s="928">
        <v>55.12800000000061</v>
      </c>
      <c r="O191" s="1039">
        <v>210.8564999999999</v>
      </c>
      <c r="P191" s="1039">
        <v>369.14549999999963</v>
      </c>
      <c r="Q191" s="747">
        <f t="shared" si="3"/>
        <v>2231.9865</v>
      </c>
      <c r="R191" s="1359"/>
      <c r="S191" s="1361"/>
    </row>
    <row r="192" spans="1:19" ht="13.5" customHeight="1">
      <c r="A192" s="1036" t="s">
        <v>619</v>
      </c>
      <c r="B192" s="248">
        <v>0.55</v>
      </c>
      <c r="C192" s="1812" t="s">
        <v>612</v>
      </c>
      <c r="D192" s="1814" t="s">
        <v>241</v>
      </c>
      <c r="E192" s="1840">
        <v>492</v>
      </c>
      <c r="F192" s="1840">
        <v>501.90000000000055</v>
      </c>
      <c r="G192" s="1816">
        <v>519.9000000000005</v>
      </c>
      <c r="H192" s="1840">
        <v>1060.5</v>
      </c>
      <c r="I192" s="1816">
        <v>717</v>
      </c>
      <c r="J192" s="1816">
        <v>167.69999999999888</v>
      </c>
      <c r="K192" s="1816">
        <v>58.2</v>
      </c>
      <c r="L192" s="1816">
        <v>40.5</v>
      </c>
      <c r="M192" s="1816">
        <v>36.900000000000546</v>
      </c>
      <c r="N192" s="1816">
        <v>55</v>
      </c>
      <c r="O192" s="1791">
        <v>232.5</v>
      </c>
      <c r="P192" s="1791">
        <v>549.2999999999984</v>
      </c>
      <c r="Q192" s="1865">
        <f t="shared" si="3"/>
        <v>4431.399999999999</v>
      </c>
      <c r="R192" s="1358"/>
      <c r="S192" s="1361"/>
    </row>
    <row r="193" spans="1:19" ht="13.5" customHeight="1">
      <c r="A193" s="1036" t="s">
        <v>620</v>
      </c>
      <c r="B193" s="248">
        <v>1.315</v>
      </c>
      <c r="C193" s="1813"/>
      <c r="D193" s="1815"/>
      <c r="E193" s="1841"/>
      <c r="F193" s="1841"/>
      <c r="G193" s="1817"/>
      <c r="H193" s="1841"/>
      <c r="I193" s="1817"/>
      <c r="J193" s="1817"/>
      <c r="K193" s="1817"/>
      <c r="L193" s="1817"/>
      <c r="M193" s="1817"/>
      <c r="N193" s="1817"/>
      <c r="O193" s="1792"/>
      <c r="P193" s="1792"/>
      <c r="Q193" s="1867"/>
      <c r="R193" s="1359"/>
      <c r="S193" s="1361"/>
    </row>
    <row r="194" spans="1:19" ht="13.5" customHeight="1">
      <c r="A194" s="1038" t="s">
        <v>621</v>
      </c>
      <c r="B194" s="248">
        <v>0.651</v>
      </c>
      <c r="C194" s="1825" t="s">
        <v>614</v>
      </c>
      <c r="D194" s="1814" t="s">
        <v>241</v>
      </c>
      <c r="E194" s="1840">
        <v>252.4409999999998</v>
      </c>
      <c r="F194" s="1840">
        <v>161.98739999999987</v>
      </c>
      <c r="G194" s="1840">
        <v>124.61400000000003</v>
      </c>
      <c r="H194" s="1840">
        <v>435.49740000000037</v>
      </c>
      <c r="I194" s="1816">
        <v>291.4541999999998</v>
      </c>
      <c r="J194" s="1816">
        <v>65.26799999999957</v>
      </c>
      <c r="K194" s="1816">
        <v>0</v>
      </c>
      <c r="L194" s="1816">
        <v>0</v>
      </c>
      <c r="M194" s="1816">
        <v>21.882600000000274</v>
      </c>
      <c r="N194" s="1816">
        <v>97</v>
      </c>
      <c r="O194" s="1791">
        <v>14.443199999999797</v>
      </c>
      <c r="P194" s="1791">
        <v>556.677</v>
      </c>
      <c r="Q194" s="1865">
        <f t="shared" si="3"/>
        <v>2021.2647999999995</v>
      </c>
      <c r="R194" s="1358"/>
      <c r="S194" s="1361"/>
    </row>
    <row r="195" spans="1:19" ht="13.5" customHeight="1">
      <c r="A195" s="1038" t="s">
        <v>622</v>
      </c>
      <c r="B195" s="248">
        <v>0.356</v>
      </c>
      <c r="C195" s="1843"/>
      <c r="D195" s="1815"/>
      <c r="E195" s="1841"/>
      <c r="F195" s="1841"/>
      <c r="G195" s="1841"/>
      <c r="H195" s="1841"/>
      <c r="I195" s="1817"/>
      <c r="J195" s="1817"/>
      <c r="K195" s="1817"/>
      <c r="L195" s="1817"/>
      <c r="M195" s="1817"/>
      <c r="N195" s="1817"/>
      <c r="O195" s="1792"/>
      <c r="P195" s="1792"/>
      <c r="Q195" s="1867"/>
      <c r="R195" s="1359"/>
      <c r="S195" s="1361"/>
    </row>
    <row r="196" spans="1:19" ht="13.5" customHeight="1">
      <c r="A196" s="1038" t="s">
        <v>663</v>
      </c>
      <c r="B196" s="248">
        <v>1.3</v>
      </c>
      <c r="C196" s="1038" t="s">
        <v>613</v>
      </c>
      <c r="D196" s="194" t="s">
        <v>241</v>
      </c>
      <c r="E196" s="552">
        <v>0</v>
      </c>
      <c r="F196" s="552">
        <v>0</v>
      </c>
      <c r="G196" s="552">
        <v>0</v>
      </c>
      <c r="H196" s="552">
        <v>0</v>
      </c>
      <c r="I196" s="659">
        <v>0</v>
      </c>
      <c r="J196" s="659">
        <v>0</v>
      </c>
      <c r="K196" s="659">
        <v>0</v>
      </c>
      <c r="L196" s="659">
        <v>84.49199999999996</v>
      </c>
      <c r="M196" s="928">
        <v>63.46499999999992</v>
      </c>
      <c r="N196" s="928">
        <v>90.05400000000009</v>
      </c>
      <c r="O196" s="1039">
        <v>97.3080000000001</v>
      </c>
      <c r="P196" s="1039">
        <v>160.88100000000003</v>
      </c>
      <c r="Q196" s="747">
        <f t="shared" si="3"/>
        <v>496.2000000000001</v>
      </c>
      <c r="R196" s="1358"/>
      <c r="S196" s="1361"/>
    </row>
    <row r="197" spans="1:19" ht="13.5" customHeight="1">
      <c r="A197" s="1038" t="s">
        <v>664</v>
      </c>
      <c r="B197" s="251">
        <v>0.3</v>
      </c>
      <c r="C197" s="1038" t="s">
        <v>665</v>
      </c>
      <c r="D197" s="194" t="s">
        <v>241</v>
      </c>
      <c r="E197" s="552">
        <v>119.80968000000009</v>
      </c>
      <c r="F197" s="552">
        <v>62.266559999999885</v>
      </c>
      <c r="G197" s="552">
        <v>47.86907999999996</v>
      </c>
      <c r="H197" s="552">
        <v>174.2748000000001</v>
      </c>
      <c r="I197" s="659">
        <v>217.26203999999998</v>
      </c>
      <c r="J197" s="659">
        <v>140.5692</v>
      </c>
      <c r="K197" s="659">
        <v>1.3291199999999999</v>
      </c>
      <c r="L197" s="659">
        <v>0</v>
      </c>
      <c r="M197" s="928">
        <v>10.105079999999871</v>
      </c>
      <c r="N197" s="928">
        <v>64.84836000000024</v>
      </c>
      <c r="O197" s="1039">
        <v>38.78399999999965</v>
      </c>
      <c r="P197" s="1039">
        <v>72.13020000000033</v>
      </c>
      <c r="Q197" s="747">
        <f t="shared" si="3"/>
        <v>949.24812</v>
      </c>
      <c r="R197" s="1359"/>
      <c r="S197" s="1361"/>
    </row>
    <row r="198" spans="1:19" ht="13.5" customHeight="1">
      <c r="A198" s="171" t="s">
        <v>666</v>
      </c>
      <c r="B198" s="251">
        <v>0.456</v>
      </c>
      <c r="C198" s="1038" t="s">
        <v>667</v>
      </c>
      <c r="D198" s="194" t="s">
        <v>241</v>
      </c>
      <c r="E198" s="552">
        <v>32.799999999999955</v>
      </c>
      <c r="F198" s="552">
        <v>53</v>
      </c>
      <c r="G198" s="552">
        <v>94.5</v>
      </c>
      <c r="H198" s="552">
        <v>48.5</v>
      </c>
      <c r="I198" s="659">
        <v>14.899999999999864</v>
      </c>
      <c r="J198" s="659">
        <v>1.6000000000001364</v>
      </c>
      <c r="K198" s="659">
        <v>0</v>
      </c>
      <c r="L198" s="659">
        <v>0</v>
      </c>
      <c r="M198" s="928">
        <v>0</v>
      </c>
      <c r="N198" s="928">
        <v>0</v>
      </c>
      <c r="O198" s="1039">
        <v>0.09999999999990905</v>
      </c>
      <c r="P198" s="1039">
        <v>0</v>
      </c>
      <c r="Q198" s="747">
        <f t="shared" si="3"/>
        <v>245.39999999999986</v>
      </c>
      <c r="R198" s="1358"/>
      <c r="S198" s="1361"/>
    </row>
    <row r="199" spans="1:19" ht="13.5" customHeight="1">
      <c r="A199" s="171" t="s">
        <v>668</v>
      </c>
      <c r="B199" s="251">
        <v>1.105</v>
      </c>
      <c r="C199" s="1038" t="s">
        <v>669</v>
      </c>
      <c r="D199" s="194" t="s">
        <v>241</v>
      </c>
      <c r="E199" s="552">
        <v>273</v>
      </c>
      <c r="F199" s="552">
        <v>259.7999999999997</v>
      </c>
      <c r="G199" s="552">
        <v>164.10000000000082</v>
      </c>
      <c r="H199" s="552">
        <v>622.2000000000003</v>
      </c>
      <c r="I199" s="659">
        <v>114.89999999999918</v>
      </c>
      <c r="J199" s="659">
        <v>0</v>
      </c>
      <c r="K199" s="659">
        <v>0</v>
      </c>
      <c r="L199" s="659">
        <v>0</v>
      </c>
      <c r="M199" s="928">
        <v>43.20000000000028</v>
      </c>
      <c r="N199" s="928">
        <v>92.40000000000056</v>
      </c>
      <c r="O199" s="1039">
        <v>271.5</v>
      </c>
      <c r="P199" s="1039">
        <v>348.59999999999945</v>
      </c>
      <c r="Q199" s="747">
        <f t="shared" si="3"/>
        <v>2189.7000000000003</v>
      </c>
      <c r="R199" s="1359"/>
      <c r="S199" s="1361"/>
    </row>
    <row r="200" spans="1:19" ht="13.5" customHeight="1">
      <c r="A200" s="171" t="s">
        <v>670</v>
      </c>
      <c r="B200" s="251">
        <v>0.973</v>
      </c>
      <c r="C200" s="1038" t="s">
        <v>671</v>
      </c>
      <c r="D200" s="194">
        <v>10</v>
      </c>
      <c r="E200" s="552">
        <v>473.1750000000011</v>
      </c>
      <c r="F200" s="552">
        <v>217.12499999999864</v>
      </c>
      <c r="G200" s="552">
        <v>306.22499999999945</v>
      </c>
      <c r="H200" s="552">
        <v>640.799999999997</v>
      </c>
      <c r="I200" s="659">
        <v>199.80000000000246</v>
      </c>
      <c r="J200" s="659">
        <v>100.57499999999891</v>
      </c>
      <c r="K200" s="659">
        <v>61.875</v>
      </c>
      <c r="L200" s="659">
        <v>37.87500000000137</v>
      </c>
      <c r="M200" s="928">
        <v>22.27500000000191</v>
      </c>
      <c r="N200" s="928">
        <v>55.1249999999959</v>
      </c>
      <c r="O200" s="1039">
        <v>131.84999999999945</v>
      </c>
      <c r="P200" s="1039">
        <v>292.2750000000019</v>
      </c>
      <c r="Q200" s="747">
        <f t="shared" si="3"/>
        <v>2538.974999999998</v>
      </c>
      <c r="R200" s="1358"/>
      <c r="S200" s="1361"/>
    </row>
    <row r="201" spans="1:19" ht="13.5" customHeight="1">
      <c r="A201" s="171" t="s">
        <v>672</v>
      </c>
      <c r="B201" s="171">
        <v>0.9</v>
      </c>
      <c r="C201" s="335" t="s">
        <v>673</v>
      </c>
      <c r="D201" s="336">
        <v>10</v>
      </c>
      <c r="E201" s="552">
        <v>242.4</v>
      </c>
      <c r="F201" s="552">
        <v>184.8</v>
      </c>
      <c r="G201" s="552">
        <v>274.8</v>
      </c>
      <c r="H201" s="552">
        <v>463.2</v>
      </c>
      <c r="I201" s="659">
        <v>214.8</v>
      </c>
      <c r="J201" s="659">
        <v>112.8</v>
      </c>
      <c r="K201" s="659">
        <v>57.6</v>
      </c>
      <c r="L201" s="659">
        <v>26.4</v>
      </c>
      <c r="M201" s="928">
        <v>25.2</v>
      </c>
      <c r="N201" s="928">
        <v>40.8</v>
      </c>
      <c r="O201" s="1039">
        <v>91.2</v>
      </c>
      <c r="P201" s="1039">
        <v>201.6</v>
      </c>
      <c r="Q201" s="747">
        <f aca="true" t="shared" si="4" ref="Q201:Q242">SUM(E201:P201)</f>
        <v>1935.6</v>
      </c>
      <c r="R201" s="1359"/>
      <c r="S201" s="1361"/>
    </row>
    <row r="202" spans="1:19" ht="13.5" customHeight="1">
      <c r="A202" s="330" t="s">
        <v>674</v>
      </c>
      <c r="B202" s="199">
        <v>0.63</v>
      </c>
      <c r="C202" s="199" t="s">
        <v>675</v>
      </c>
      <c r="D202" s="336">
        <v>10</v>
      </c>
      <c r="E202" s="552">
        <v>94.44800000000032</v>
      </c>
      <c r="F202" s="552">
        <v>38.169999999999625</v>
      </c>
      <c r="G202" s="552">
        <v>39.6220000000003</v>
      </c>
      <c r="H202" s="552">
        <v>257.63599999999997</v>
      </c>
      <c r="I202" s="659">
        <v>378.913</v>
      </c>
      <c r="J202" s="659">
        <v>189.98999999999975</v>
      </c>
      <c r="K202" s="659">
        <v>49.57300000000032</v>
      </c>
      <c r="L202" s="659">
        <v>16.6899999999996</v>
      </c>
      <c r="M202" s="928">
        <v>12.156000000000404</v>
      </c>
      <c r="N202" s="928">
        <v>40.94299999999975</v>
      </c>
      <c r="O202" s="1039">
        <v>82.4380000000001</v>
      </c>
      <c r="P202" s="1039">
        <v>254.43299999999954</v>
      </c>
      <c r="Q202" s="747">
        <f t="shared" si="4"/>
        <v>1455.0119999999997</v>
      </c>
      <c r="R202" s="1358"/>
      <c r="S202" s="1361"/>
    </row>
    <row r="203" spans="1:19" ht="13.5" customHeight="1">
      <c r="A203" s="171" t="s">
        <v>676</v>
      </c>
      <c r="B203" s="171">
        <v>2.677</v>
      </c>
      <c r="C203" s="335" t="s">
        <v>677</v>
      </c>
      <c r="D203" s="336">
        <v>10</v>
      </c>
      <c r="E203" s="552">
        <v>680</v>
      </c>
      <c r="F203" s="552">
        <v>553.9999999999986</v>
      </c>
      <c r="G203" s="552">
        <v>590</v>
      </c>
      <c r="H203" s="552">
        <v>988.0000000000018</v>
      </c>
      <c r="I203" s="659">
        <v>240</v>
      </c>
      <c r="J203" s="659">
        <v>25.99999999999909</v>
      </c>
      <c r="K203" s="659">
        <v>22.000000000000455</v>
      </c>
      <c r="L203" s="659">
        <v>3.9999999999986358</v>
      </c>
      <c r="M203" s="928">
        <v>0</v>
      </c>
      <c r="N203" s="928">
        <v>0</v>
      </c>
      <c r="O203" s="1039">
        <v>590</v>
      </c>
      <c r="P203" s="1039">
        <v>1090</v>
      </c>
      <c r="Q203" s="747">
        <f t="shared" si="4"/>
        <v>4783.999999999998</v>
      </c>
      <c r="R203" s="1359"/>
      <c r="S203" s="1361"/>
    </row>
    <row r="204" spans="1:19" ht="13.5" customHeight="1">
      <c r="A204" s="171" t="s">
        <v>678</v>
      </c>
      <c r="B204" s="171">
        <v>0.2</v>
      </c>
      <c r="C204" s="335" t="s">
        <v>679</v>
      </c>
      <c r="D204" s="336">
        <v>10</v>
      </c>
      <c r="E204" s="552">
        <v>38.12796000000002</v>
      </c>
      <c r="F204" s="552">
        <v>51.521159999999874</v>
      </c>
      <c r="G204" s="552">
        <v>57.312839999999994</v>
      </c>
      <c r="H204" s="552">
        <v>52.677839999999996</v>
      </c>
      <c r="I204" s="659">
        <v>45.926759999999994</v>
      </c>
      <c r="J204" s="659">
        <v>28.881840000000082</v>
      </c>
      <c r="K204" s="659">
        <v>32.75736</v>
      </c>
      <c r="L204" s="659">
        <v>29.065319999999918</v>
      </c>
      <c r="M204" s="928">
        <v>22.44228000000003</v>
      </c>
      <c r="N204" s="928">
        <v>21.033119999999982</v>
      </c>
      <c r="O204" s="1039">
        <v>14.399399999999877</v>
      </c>
      <c r="P204" s="1039">
        <v>40.25268000000003</v>
      </c>
      <c r="Q204" s="747">
        <f t="shared" si="4"/>
        <v>434.3985599999999</v>
      </c>
      <c r="R204" s="1358"/>
      <c r="S204" s="1361"/>
    </row>
    <row r="205" spans="1:19" ht="13.5" customHeight="1">
      <c r="A205" s="171" t="s">
        <v>680</v>
      </c>
      <c r="B205" s="171">
        <v>0.54</v>
      </c>
      <c r="C205" s="335" t="s">
        <v>681</v>
      </c>
      <c r="D205" s="336">
        <v>10</v>
      </c>
      <c r="E205" s="552">
        <v>68.8</v>
      </c>
      <c r="F205" s="552">
        <v>61.6</v>
      </c>
      <c r="G205" s="552">
        <v>62.4</v>
      </c>
      <c r="H205" s="552">
        <v>156</v>
      </c>
      <c r="I205" s="659">
        <v>62.4</v>
      </c>
      <c r="J205" s="659">
        <v>23.2</v>
      </c>
      <c r="K205" s="659">
        <v>0</v>
      </c>
      <c r="L205" s="659">
        <v>0</v>
      </c>
      <c r="M205" s="928">
        <v>33.6</v>
      </c>
      <c r="N205" s="928">
        <v>59.2</v>
      </c>
      <c r="O205" s="1039">
        <v>104.8</v>
      </c>
      <c r="P205" s="1039">
        <v>124</v>
      </c>
      <c r="Q205" s="747">
        <f t="shared" si="4"/>
        <v>756</v>
      </c>
      <c r="R205" s="1359"/>
      <c r="S205" s="1361"/>
    </row>
    <row r="206" spans="1:19" ht="13.5" customHeight="1">
      <c r="A206" s="323" t="s">
        <v>682</v>
      </c>
      <c r="B206" s="337">
        <v>2.133</v>
      </c>
      <c r="C206" s="338" t="s">
        <v>683</v>
      </c>
      <c r="D206" s="339">
        <v>35</v>
      </c>
      <c r="E206" s="552">
        <v>188.09000000000003</v>
      </c>
      <c r="F206" s="552">
        <v>231.06999999999994</v>
      </c>
      <c r="G206" s="552">
        <v>293.19499999999994</v>
      </c>
      <c r="H206" s="552">
        <v>586.8800000000002</v>
      </c>
      <c r="I206" s="659">
        <v>173.11000000000013</v>
      </c>
      <c r="J206" s="659">
        <v>46.20000000000016</v>
      </c>
      <c r="K206" s="659">
        <v>35.489999999999554</v>
      </c>
      <c r="L206" s="659">
        <v>49.455000000000375</v>
      </c>
      <c r="M206" s="928">
        <v>22.715000000000032</v>
      </c>
      <c r="N206" s="928">
        <v>30.239999999999558</v>
      </c>
      <c r="O206" s="1039">
        <v>49.875</v>
      </c>
      <c r="P206" s="1039">
        <v>155.36500000000035</v>
      </c>
      <c r="Q206" s="747">
        <f t="shared" si="4"/>
        <v>1861.6850000000004</v>
      </c>
      <c r="R206" s="1358"/>
      <c r="S206" s="1361"/>
    </row>
    <row r="207" spans="1:19" ht="13.5" customHeight="1">
      <c r="A207" s="171" t="s">
        <v>684</v>
      </c>
      <c r="B207" s="171">
        <v>1.8</v>
      </c>
      <c r="C207" s="335" t="s">
        <v>685</v>
      </c>
      <c r="D207" s="336">
        <v>10</v>
      </c>
      <c r="E207" s="552">
        <v>807.000000000001</v>
      </c>
      <c r="F207" s="552">
        <v>782.999999999999</v>
      </c>
      <c r="G207" s="552">
        <v>457.5</v>
      </c>
      <c r="H207" s="552">
        <v>1093.5000000000014</v>
      </c>
      <c r="I207" s="659">
        <v>409.4999999999993</v>
      </c>
      <c r="J207" s="659">
        <v>8.999999999998636</v>
      </c>
      <c r="K207" s="659">
        <v>0</v>
      </c>
      <c r="L207" s="659">
        <v>0</v>
      </c>
      <c r="M207" s="928">
        <v>420</v>
      </c>
      <c r="N207" s="928">
        <v>682.5</v>
      </c>
      <c r="O207" s="1039">
        <v>705</v>
      </c>
      <c r="P207" s="1039">
        <v>1036.500000000002</v>
      </c>
      <c r="Q207" s="747">
        <f t="shared" si="4"/>
        <v>6403.500000000002</v>
      </c>
      <c r="R207" s="1359"/>
      <c r="S207" s="1361"/>
    </row>
    <row r="208" spans="1:19" ht="13.5" customHeight="1">
      <c r="A208" s="337" t="s">
        <v>686</v>
      </c>
      <c r="B208" s="337">
        <v>1.95</v>
      </c>
      <c r="C208" s="338" t="s">
        <v>687</v>
      </c>
      <c r="D208" s="339">
        <v>35</v>
      </c>
      <c r="E208" s="552">
        <v>840</v>
      </c>
      <c r="F208" s="552">
        <v>1035.9999999999989</v>
      </c>
      <c r="G208" s="552">
        <v>605.5000000000003</v>
      </c>
      <c r="H208" s="552">
        <v>1295</v>
      </c>
      <c r="I208" s="659">
        <v>346.4999999999992</v>
      </c>
      <c r="J208" s="659">
        <v>71.75000000000239</v>
      </c>
      <c r="K208" s="659">
        <v>10.499999999998408</v>
      </c>
      <c r="L208" s="659">
        <v>12.250000000000801</v>
      </c>
      <c r="M208" s="928">
        <v>255.49999999999798</v>
      </c>
      <c r="N208" s="928">
        <v>511.0000000000008</v>
      </c>
      <c r="O208" s="1039">
        <v>616.0000000000008</v>
      </c>
      <c r="P208" s="1039">
        <v>896.0000000000008</v>
      </c>
      <c r="Q208" s="747">
        <f t="shared" si="4"/>
        <v>6496.000000000001</v>
      </c>
      <c r="R208" s="1358"/>
      <c r="S208" s="1361"/>
    </row>
    <row r="209" spans="1:19" ht="13.5" customHeight="1">
      <c r="A209" s="202" t="s">
        <v>688</v>
      </c>
      <c r="B209" s="171">
        <v>1.9</v>
      </c>
      <c r="C209" s="171" t="s">
        <v>718</v>
      </c>
      <c r="D209" s="202">
        <v>35</v>
      </c>
      <c r="E209" s="552">
        <v>1393.1662500000023</v>
      </c>
      <c r="F209" s="552">
        <v>1086.6449999999988</v>
      </c>
      <c r="G209" s="552">
        <v>1224.3787500000008</v>
      </c>
      <c r="H209" s="552">
        <v>1412.4862499999992</v>
      </c>
      <c r="I209" s="659">
        <v>860.658750000001</v>
      </c>
      <c r="J209" s="659">
        <v>298.85624999999976</v>
      </c>
      <c r="K209" s="659">
        <v>162.01500000000067</v>
      </c>
      <c r="L209" s="659">
        <v>151.4887499999989</v>
      </c>
      <c r="M209" s="928">
        <v>180.38999999999888</v>
      </c>
      <c r="N209" s="928">
        <v>442.81125000000077</v>
      </c>
      <c r="O209" s="1039">
        <v>654.149999999999</v>
      </c>
      <c r="P209" s="1039">
        <v>427.8487500000024</v>
      </c>
      <c r="Q209" s="747">
        <f t="shared" si="4"/>
        <v>8294.895000000002</v>
      </c>
      <c r="R209" s="1359"/>
      <c r="S209" s="1361"/>
    </row>
    <row r="210" spans="1:19" ht="13.5" customHeight="1">
      <c r="A210" s="340" t="s">
        <v>689</v>
      </c>
      <c r="B210" s="171">
        <v>1.9</v>
      </c>
      <c r="C210" s="171" t="s">
        <v>719</v>
      </c>
      <c r="D210" s="202">
        <v>35</v>
      </c>
      <c r="E210" s="552">
        <v>888.4924999999993</v>
      </c>
      <c r="F210" s="552">
        <v>796.5999999999997</v>
      </c>
      <c r="G210" s="552">
        <v>999.0750000000006</v>
      </c>
      <c r="H210" s="552">
        <v>1124.3400000000008</v>
      </c>
      <c r="I210" s="659">
        <v>410.54999999999865</v>
      </c>
      <c r="J210" s="659">
        <v>215.51250000000095</v>
      </c>
      <c r="K210" s="659">
        <v>94.42999999999927</v>
      </c>
      <c r="L210" s="659">
        <v>113.3125000000004</v>
      </c>
      <c r="M210" s="928">
        <v>105.03500000000116</v>
      </c>
      <c r="N210" s="928">
        <v>200.8124999999984</v>
      </c>
      <c r="O210" s="1039">
        <v>400.36500000000075</v>
      </c>
      <c r="P210" s="1039">
        <v>499.78249999999946</v>
      </c>
      <c r="Q210" s="747">
        <f t="shared" si="4"/>
        <v>5848.307499999998</v>
      </c>
      <c r="R210" s="1358"/>
      <c r="S210" s="1361"/>
    </row>
    <row r="211" spans="1:19" ht="13.5" customHeight="1">
      <c r="A211" s="341" t="s">
        <v>690</v>
      </c>
      <c r="B211" s="251">
        <v>1.34</v>
      </c>
      <c r="C211" s="1038" t="s">
        <v>720</v>
      </c>
      <c r="D211" s="194">
        <v>35</v>
      </c>
      <c r="E211" s="552">
        <v>132.34000000000015</v>
      </c>
      <c r="F211" s="552">
        <v>79.51999999999998</v>
      </c>
      <c r="G211" s="552">
        <v>86.63999999999987</v>
      </c>
      <c r="H211" s="552">
        <v>512.5899999999997</v>
      </c>
      <c r="I211" s="659">
        <v>114.28999999999998</v>
      </c>
      <c r="J211" s="659">
        <v>0</v>
      </c>
      <c r="K211" s="659">
        <v>0</v>
      </c>
      <c r="L211" s="659">
        <v>0</v>
      </c>
      <c r="M211" s="928">
        <v>0</v>
      </c>
      <c r="N211" s="928">
        <v>66.35000000000036</v>
      </c>
      <c r="O211" s="1039">
        <v>202.25</v>
      </c>
      <c r="P211" s="1039">
        <v>283.1199999999999</v>
      </c>
      <c r="Q211" s="747">
        <f t="shared" si="4"/>
        <v>1477.1</v>
      </c>
      <c r="R211" s="1359"/>
      <c r="S211" s="1361"/>
    </row>
    <row r="212" spans="1:19" ht="13.5" customHeight="1">
      <c r="A212" s="332" t="s">
        <v>662</v>
      </c>
      <c r="B212" s="333">
        <v>0.38</v>
      </c>
      <c r="C212" s="1037" t="s">
        <v>721</v>
      </c>
      <c r="D212" s="222">
        <v>10</v>
      </c>
      <c r="E212" s="552">
        <v>128.64000000000016</v>
      </c>
      <c r="F212" s="552">
        <v>112.8</v>
      </c>
      <c r="G212" s="552">
        <v>105.87999999999992</v>
      </c>
      <c r="H212" s="552">
        <v>151.04000000000013</v>
      </c>
      <c r="I212" s="659">
        <v>113.03999999999978</v>
      </c>
      <c r="J212" s="659">
        <v>39.92000000000007</v>
      </c>
      <c r="K212" s="659">
        <v>28.96</v>
      </c>
      <c r="L212" s="659">
        <v>29.720000000000073</v>
      </c>
      <c r="M212" s="928">
        <v>65.36000000000021</v>
      </c>
      <c r="N212" s="928">
        <v>68.27999999999993</v>
      </c>
      <c r="O212" s="1039">
        <v>107.67999999999992</v>
      </c>
      <c r="P212" s="1039">
        <v>146.32000000000005</v>
      </c>
      <c r="Q212" s="747">
        <f t="shared" si="4"/>
        <v>1097.6400000000003</v>
      </c>
      <c r="R212" s="1358"/>
      <c r="S212" s="1361"/>
    </row>
    <row r="213" spans="1:19" ht="13.5" customHeight="1">
      <c r="A213" s="342" t="s">
        <v>803</v>
      </c>
      <c r="B213" s="251">
        <v>0.5</v>
      </c>
      <c r="C213" s="1038" t="s">
        <v>804</v>
      </c>
      <c r="D213" s="194">
        <v>6</v>
      </c>
      <c r="E213" s="552">
        <v>122.90141999999989</v>
      </c>
      <c r="F213" s="552">
        <v>93.75099000000002</v>
      </c>
      <c r="G213" s="552">
        <v>98.90529000000022</v>
      </c>
      <c r="H213" s="552">
        <v>89.97116999999989</v>
      </c>
      <c r="I213" s="659">
        <v>106.23585000000007</v>
      </c>
      <c r="J213" s="659">
        <v>86.93586000000005</v>
      </c>
      <c r="K213" s="659">
        <v>78.861</v>
      </c>
      <c r="L213" s="659">
        <v>61.90887000000001</v>
      </c>
      <c r="M213" s="928">
        <v>52.23024000000003</v>
      </c>
      <c r="N213" s="928">
        <v>54.86465999999991</v>
      </c>
      <c r="O213" s="1039">
        <v>64.77237000000001</v>
      </c>
      <c r="P213" s="1039">
        <v>135.3862799999999</v>
      </c>
      <c r="Q213" s="747">
        <f t="shared" si="4"/>
        <v>1046.724</v>
      </c>
      <c r="R213" s="1359"/>
      <c r="S213" s="1361"/>
    </row>
    <row r="214" spans="1:19" ht="13.5" customHeight="1">
      <c r="A214" s="334" t="s">
        <v>805</v>
      </c>
      <c r="B214" s="251">
        <v>1.994</v>
      </c>
      <c r="C214" s="1038" t="s">
        <v>806</v>
      </c>
      <c r="D214" s="552">
        <v>35</v>
      </c>
      <c r="E214" s="552">
        <v>552.0899999999995</v>
      </c>
      <c r="F214" s="552">
        <v>598.2129999999995</v>
      </c>
      <c r="G214" s="552">
        <v>573.4960000000001</v>
      </c>
      <c r="H214" s="552">
        <v>1152.5360000000005</v>
      </c>
      <c r="I214" s="552">
        <v>573.7269999999999</v>
      </c>
      <c r="J214" s="552">
        <v>135.0579999999997</v>
      </c>
      <c r="K214" s="552">
        <v>51.128000000000775</v>
      </c>
      <c r="L214" s="659">
        <v>54.592999999999364</v>
      </c>
      <c r="M214" s="928">
        <v>43.5050000000007</v>
      </c>
      <c r="N214" s="928">
        <v>129.12899999999985</v>
      </c>
      <c r="O214" s="1039">
        <v>361.9</v>
      </c>
      <c r="P214" s="1039">
        <v>744.127999999999</v>
      </c>
      <c r="Q214" s="747">
        <f t="shared" si="4"/>
        <v>4969.502999999998</v>
      </c>
      <c r="R214" s="1358"/>
      <c r="S214" s="1361"/>
    </row>
    <row r="215" spans="1:19" ht="13.5" customHeight="1">
      <c r="A215" s="334" t="s">
        <v>798</v>
      </c>
      <c r="B215" s="343">
        <v>0.8</v>
      </c>
      <c r="C215" s="1038" t="s">
        <v>807</v>
      </c>
      <c r="D215" s="194">
        <v>20</v>
      </c>
      <c r="E215" s="552">
        <v>57.6</v>
      </c>
      <c r="F215" s="552">
        <v>70.8</v>
      </c>
      <c r="G215" s="552">
        <v>108</v>
      </c>
      <c r="H215" s="552">
        <v>96</v>
      </c>
      <c r="I215" s="659">
        <v>57.6</v>
      </c>
      <c r="J215" s="659">
        <v>19.2</v>
      </c>
      <c r="K215" s="659">
        <v>7.2</v>
      </c>
      <c r="L215" s="659">
        <v>0</v>
      </c>
      <c r="M215" s="928">
        <v>0</v>
      </c>
      <c r="N215" s="928">
        <v>0</v>
      </c>
      <c r="O215" s="1039">
        <v>0</v>
      </c>
      <c r="P215" s="1039">
        <v>78</v>
      </c>
      <c r="Q215" s="747">
        <f t="shared" si="4"/>
        <v>494.4</v>
      </c>
      <c r="R215" s="1359"/>
      <c r="S215" s="1361"/>
    </row>
    <row r="216" spans="1:19" ht="13.5" customHeight="1">
      <c r="A216" s="334" t="s">
        <v>808</v>
      </c>
      <c r="B216" s="343">
        <v>1.75</v>
      </c>
      <c r="C216" s="1038" t="s">
        <v>809</v>
      </c>
      <c r="D216" s="194">
        <v>35</v>
      </c>
      <c r="E216" s="552">
        <v>957.3269999999998</v>
      </c>
      <c r="F216" s="552">
        <v>563.7975000000006</v>
      </c>
      <c r="G216" s="552">
        <v>486.98999999999995</v>
      </c>
      <c r="H216" s="552">
        <v>1219.5224999999998</v>
      </c>
      <c r="I216" s="659">
        <v>639.1560000000007</v>
      </c>
      <c r="J216" s="659">
        <v>152.06099999999972</v>
      </c>
      <c r="K216" s="659">
        <v>33.76799999999889</v>
      </c>
      <c r="L216" s="659">
        <v>0</v>
      </c>
      <c r="M216" s="928">
        <v>0</v>
      </c>
      <c r="N216" s="928">
        <v>295.55400000000145</v>
      </c>
      <c r="O216" s="1039">
        <v>621.4949999999982</v>
      </c>
      <c r="P216" s="1039">
        <v>751.2330000000005</v>
      </c>
      <c r="Q216" s="747">
        <f t="shared" si="4"/>
        <v>5720.9039999999995</v>
      </c>
      <c r="R216" s="1358"/>
      <c r="S216" s="1361"/>
    </row>
    <row r="217" spans="1:19" ht="12.75">
      <c r="A217" s="334" t="s">
        <v>810</v>
      </c>
      <c r="B217" s="343">
        <v>0.8</v>
      </c>
      <c r="C217" s="1038" t="s">
        <v>811</v>
      </c>
      <c r="D217" s="194">
        <v>35</v>
      </c>
      <c r="E217" s="552">
        <v>687.7919999999995</v>
      </c>
      <c r="F217" s="552">
        <v>306.22400000000016</v>
      </c>
      <c r="G217" s="552">
        <v>399.0720000000001</v>
      </c>
      <c r="H217" s="552">
        <v>818</v>
      </c>
      <c r="I217" s="659">
        <v>819.2780000000002</v>
      </c>
      <c r="J217" s="659">
        <v>145.49199999999928</v>
      </c>
      <c r="K217" s="659">
        <v>14.818000000000211</v>
      </c>
      <c r="L217" s="659">
        <v>1.1500000000005457</v>
      </c>
      <c r="M217" s="928">
        <v>6.161999999999352</v>
      </c>
      <c r="N217" s="928">
        <v>151.64000000000033</v>
      </c>
      <c r="O217" s="1039">
        <v>357.02599999999984</v>
      </c>
      <c r="P217" s="1039">
        <v>846.5580000000009</v>
      </c>
      <c r="Q217" s="747">
        <f t="shared" si="4"/>
        <v>4553.212</v>
      </c>
      <c r="R217" s="1359"/>
      <c r="S217" s="1361"/>
    </row>
    <row r="218" spans="1:19" ht="12.75">
      <c r="A218" s="344" t="s">
        <v>812</v>
      </c>
      <c r="B218" s="343">
        <v>2</v>
      </c>
      <c r="C218" s="1038" t="s">
        <v>813</v>
      </c>
      <c r="D218" s="194">
        <v>35</v>
      </c>
      <c r="E218" s="552">
        <v>830.3169599999999</v>
      </c>
      <c r="F218" s="552">
        <v>1094.2560000000008</v>
      </c>
      <c r="G218" s="552">
        <v>939.6950399999997</v>
      </c>
      <c r="H218" s="552">
        <v>2017.4227200000005</v>
      </c>
      <c r="I218" s="659">
        <v>905.3337600000009</v>
      </c>
      <c r="J218" s="659">
        <v>257.4331199999995</v>
      </c>
      <c r="K218" s="659">
        <v>80.15759999999929</v>
      </c>
      <c r="L218" s="659">
        <v>116.02656000000076</v>
      </c>
      <c r="M218" s="928">
        <v>223.15391999999977</v>
      </c>
      <c r="N218" s="928">
        <v>292.6756800000011</v>
      </c>
      <c r="O218" s="1039">
        <v>715.9233599999999</v>
      </c>
      <c r="P218" s="1039">
        <v>1329.492959999999</v>
      </c>
      <c r="Q218" s="747">
        <f t="shared" si="4"/>
        <v>8801.887680000002</v>
      </c>
      <c r="R218" s="1358"/>
      <c r="S218" s="1361"/>
    </row>
    <row r="219" spans="1:19" ht="12.75">
      <c r="A219" s="344" t="s">
        <v>814</v>
      </c>
      <c r="B219" s="343">
        <v>1.94</v>
      </c>
      <c r="C219" s="1038" t="s">
        <v>815</v>
      </c>
      <c r="D219" s="194">
        <v>35</v>
      </c>
      <c r="E219" s="552">
        <v>487.94899999999996</v>
      </c>
      <c r="F219" s="552">
        <v>706.965</v>
      </c>
      <c r="G219" s="552">
        <v>621.012</v>
      </c>
      <c r="H219" s="552">
        <v>964.3060000000003</v>
      </c>
      <c r="I219" s="659">
        <v>474.6699999999996</v>
      </c>
      <c r="J219" s="659">
        <v>75.80299999999966</v>
      </c>
      <c r="K219" s="659">
        <v>0</v>
      </c>
      <c r="L219" s="659">
        <v>0</v>
      </c>
      <c r="M219" s="928">
        <v>0</v>
      </c>
      <c r="N219" s="928">
        <v>0</v>
      </c>
      <c r="O219" s="1039">
        <v>83.30700000000047</v>
      </c>
      <c r="P219" s="1039">
        <v>471.42899999999986</v>
      </c>
      <c r="Q219" s="747">
        <f t="shared" si="4"/>
        <v>3885.441</v>
      </c>
      <c r="R219" s="1358"/>
      <c r="S219" s="1361"/>
    </row>
    <row r="220" spans="1:19" ht="12.75">
      <c r="A220" s="334" t="s">
        <v>816</v>
      </c>
      <c r="B220" s="343">
        <v>1.038</v>
      </c>
      <c r="C220" s="1038" t="s">
        <v>817</v>
      </c>
      <c r="D220" s="194">
        <v>10</v>
      </c>
      <c r="E220" s="552">
        <v>649.7059999999997</v>
      </c>
      <c r="F220" s="552">
        <v>302.6760000000004</v>
      </c>
      <c r="G220" s="552">
        <v>318.4499999999998</v>
      </c>
      <c r="H220" s="552">
        <v>628.152</v>
      </c>
      <c r="I220" s="659">
        <v>726.8640000000005</v>
      </c>
      <c r="J220" s="659">
        <v>348.4359999999997</v>
      </c>
      <c r="K220" s="659">
        <v>72.25</v>
      </c>
      <c r="L220" s="659">
        <v>0</v>
      </c>
      <c r="M220" s="928">
        <v>2.217999999999847</v>
      </c>
      <c r="N220" s="928">
        <v>1.0039999999999054</v>
      </c>
      <c r="O220" s="1039">
        <v>0.8780000000006112</v>
      </c>
      <c r="P220" s="1039">
        <v>289.7439999999997</v>
      </c>
      <c r="Q220" s="747">
        <f t="shared" si="4"/>
        <v>3340.378</v>
      </c>
      <c r="R220" s="1358"/>
      <c r="S220" s="1361"/>
    </row>
    <row r="221" spans="1:19" ht="12.75">
      <c r="A221" s="345" t="s">
        <v>797</v>
      </c>
      <c r="B221" s="343">
        <v>0.6</v>
      </c>
      <c r="C221" s="1038" t="s">
        <v>818</v>
      </c>
      <c r="D221" s="194">
        <v>10</v>
      </c>
      <c r="E221" s="552">
        <v>68.08500000000002</v>
      </c>
      <c r="F221" s="552">
        <v>97.85699999999997</v>
      </c>
      <c r="G221" s="552">
        <v>78.73400000000015</v>
      </c>
      <c r="H221" s="552">
        <v>207.09899999999993</v>
      </c>
      <c r="I221" s="659">
        <v>37.4369999999999</v>
      </c>
      <c r="J221" s="659">
        <v>8.592000000000098</v>
      </c>
      <c r="K221" s="659">
        <v>0</v>
      </c>
      <c r="L221" s="659">
        <v>0</v>
      </c>
      <c r="M221" s="928">
        <v>0</v>
      </c>
      <c r="N221" s="928">
        <v>0</v>
      </c>
      <c r="O221" s="1039">
        <v>89.84400000000007</v>
      </c>
      <c r="P221" s="1039">
        <v>170.1819999999998</v>
      </c>
      <c r="Q221" s="747">
        <f t="shared" si="4"/>
        <v>757.8299999999999</v>
      </c>
      <c r="R221" s="1359"/>
      <c r="S221" s="1361"/>
    </row>
    <row r="222" spans="1:19" ht="12.75">
      <c r="A222" s="345" t="s">
        <v>819</v>
      </c>
      <c r="B222" s="343">
        <v>2</v>
      </c>
      <c r="C222" s="1038" t="s">
        <v>820</v>
      </c>
      <c r="D222" s="194">
        <v>10</v>
      </c>
      <c r="E222" s="552">
        <v>144.75</v>
      </c>
      <c r="F222" s="552">
        <v>144.68099999999993</v>
      </c>
      <c r="G222" s="552">
        <v>203.91599999999994</v>
      </c>
      <c r="H222" s="552">
        <v>358.4550000000004</v>
      </c>
      <c r="I222" s="659">
        <v>241.91399999999976</v>
      </c>
      <c r="J222" s="659">
        <v>113.2170000000001</v>
      </c>
      <c r="K222" s="659">
        <v>0</v>
      </c>
      <c r="L222" s="659">
        <v>0</v>
      </c>
      <c r="M222" s="928">
        <v>0</v>
      </c>
      <c r="N222" s="928">
        <v>146.66099999999983</v>
      </c>
      <c r="O222" s="1039">
        <v>184.3800000000001</v>
      </c>
      <c r="P222" s="1039">
        <v>224.3610000000001</v>
      </c>
      <c r="Q222" s="747">
        <f t="shared" si="4"/>
        <v>1762.335</v>
      </c>
      <c r="R222" s="1358"/>
      <c r="S222" s="1361"/>
    </row>
    <row r="223" spans="1:19" ht="12.75">
      <c r="A223" s="345" t="s">
        <v>821</v>
      </c>
      <c r="B223" s="343">
        <v>0.84</v>
      </c>
      <c r="C223" s="1038" t="s">
        <v>822</v>
      </c>
      <c r="D223" s="194">
        <v>10</v>
      </c>
      <c r="E223" s="552">
        <v>191.12999999999965</v>
      </c>
      <c r="F223" s="552">
        <v>167.45400000000063</v>
      </c>
      <c r="G223" s="552">
        <v>219.18599999999972</v>
      </c>
      <c r="H223" s="552">
        <v>432.5199999999995</v>
      </c>
      <c r="I223" s="659">
        <v>421.2180000000007</v>
      </c>
      <c r="J223" s="659">
        <v>102.8059999999996</v>
      </c>
      <c r="K223" s="659">
        <v>0</v>
      </c>
      <c r="L223" s="659">
        <v>14.719999999999345</v>
      </c>
      <c r="M223" s="928">
        <v>205.95600000000104</v>
      </c>
      <c r="N223" s="928">
        <v>146.91200000000026</v>
      </c>
      <c r="O223" s="1039">
        <v>212.44999999999888</v>
      </c>
      <c r="P223" s="1039">
        <v>324.78200000000106</v>
      </c>
      <c r="Q223" s="747">
        <f t="shared" si="4"/>
        <v>2439.1340000000005</v>
      </c>
      <c r="R223" s="1359"/>
      <c r="S223" s="1361"/>
    </row>
    <row r="224" spans="1:19" ht="12.75">
      <c r="A224" s="631" t="s">
        <v>799</v>
      </c>
      <c r="B224" s="251">
        <v>2</v>
      </c>
      <c r="C224" s="1038" t="s">
        <v>860</v>
      </c>
      <c r="D224" s="632">
        <v>10</v>
      </c>
      <c r="E224" s="552">
        <v>616</v>
      </c>
      <c r="F224" s="552">
        <v>656</v>
      </c>
      <c r="G224" s="552">
        <v>540</v>
      </c>
      <c r="H224" s="552">
        <v>1324</v>
      </c>
      <c r="I224" s="659">
        <v>1220</v>
      </c>
      <c r="J224" s="659">
        <v>196</v>
      </c>
      <c r="K224" s="659">
        <v>0</v>
      </c>
      <c r="L224" s="659">
        <v>0</v>
      </c>
      <c r="M224" s="928">
        <v>600</v>
      </c>
      <c r="N224" s="928">
        <v>452</v>
      </c>
      <c r="O224" s="1039">
        <v>664</v>
      </c>
      <c r="P224" s="1039">
        <v>1116</v>
      </c>
      <c r="Q224" s="747">
        <f t="shared" si="4"/>
        <v>7384</v>
      </c>
      <c r="R224" s="1358"/>
      <c r="S224" s="1361"/>
    </row>
    <row r="225" spans="1:19" ht="12.75">
      <c r="A225" s="631" t="s">
        <v>800</v>
      </c>
      <c r="B225" s="251">
        <v>0.9</v>
      </c>
      <c r="C225" s="1038" t="s">
        <v>859</v>
      </c>
      <c r="D225" s="194">
        <v>10</v>
      </c>
      <c r="E225" s="552">
        <v>211.2</v>
      </c>
      <c r="F225" s="552">
        <v>231.6</v>
      </c>
      <c r="G225" s="552">
        <v>214.8</v>
      </c>
      <c r="H225" s="552">
        <v>356.4</v>
      </c>
      <c r="I225" s="659">
        <v>169.2</v>
      </c>
      <c r="J225" s="659">
        <v>1.2</v>
      </c>
      <c r="K225" s="659">
        <v>3.6</v>
      </c>
      <c r="L225" s="659">
        <v>0</v>
      </c>
      <c r="M225" s="928">
        <v>57.6</v>
      </c>
      <c r="N225" s="928">
        <v>97.2</v>
      </c>
      <c r="O225" s="1039">
        <v>241.2</v>
      </c>
      <c r="P225" s="1039">
        <v>399.6</v>
      </c>
      <c r="Q225" s="747">
        <f t="shared" si="4"/>
        <v>1983.6</v>
      </c>
      <c r="R225" s="1359"/>
      <c r="S225" s="1361"/>
    </row>
    <row r="226" spans="1:19" ht="12.75">
      <c r="A226" s="631" t="s">
        <v>801</v>
      </c>
      <c r="B226" s="251">
        <v>0.85</v>
      </c>
      <c r="C226" s="1038" t="s">
        <v>858</v>
      </c>
      <c r="D226" s="194">
        <v>35</v>
      </c>
      <c r="E226" s="552">
        <v>103.68</v>
      </c>
      <c r="F226" s="552">
        <v>123.12</v>
      </c>
      <c r="G226" s="552">
        <v>84.24</v>
      </c>
      <c r="H226" s="552">
        <v>332.64</v>
      </c>
      <c r="I226" s="659">
        <v>133.92</v>
      </c>
      <c r="J226" s="659">
        <v>12.96</v>
      </c>
      <c r="K226" s="659">
        <v>0</v>
      </c>
      <c r="L226" s="659">
        <v>0</v>
      </c>
      <c r="M226" s="928">
        <v>41.04</v>
      </c>
      <c r="N226" s="928">
        <v>123.12</v>
      </c>
      <c r="O226" s="1039">
        <v>203.04</v>
      </c>
      <c r="P226" s="1039">
        <v>285.12</v>
      </c>
      <c r="Q226" s="747">
        <f t="shared" si="4"/>
        <v>1442.88</v>
      </c>
      <c r="R226" s="1358"/>
      <c r="S226" s="1361"/>
    </row>
    <row r="227" spans="1:19" ht="12.75">
      <c r="A227" s="633" t="s">
        <v>795</v>
      </c>
      <c r="B227" s="251">
        <v>1.86</v>
      </c>
      <c r="C227" s="1038" t="s">
        <v>861</v>
      </c>
      <c r="D227" s="194">
        <v>35</v>
      </c>
      <c r="E227" s="552">
        <v>818.2259999999999</v>
      </c>
      <c r="F227" s="552">
        <v>595.9440000000004</v>
      </c>
      <c r="G227" s="552">
        <v>558.2700000000004</v>
      </c>
      <c r="H227" s="552">
        <v>1349.3219999999997</v>
      </c>
      <c r="I227" s="659">
        <v>662.538</v>
      </c>
      <c r="J227" s="659">
        <v>88.72800000000005</v>
      </c>
      <c r="K227" s="659">
        <v>15.233999999999924</v>
      </c>
      <c r="L227" s="659">
        <v>0</v>
      </c>
      <c r="M227" s="928">
        <v>138.98399999999992</v>
      </c>
      <c r="N227" s="928">
        <v>168.6840000000002</v>
      </c>
      <c r="O227" s="1039">
        <v>519.3360000000002</v>
      </c>
      <c r="P227" s="1039">
        <v>629.8739999999989</v>
      </c>
      <c r="Q227" s="747">
        <f t="shared" si="4"/>
        <v>5545.14</v>
      </c>
      <c r="R227" s="1359"/>
      <c r="S227" s="1361"/>
    </row>
    <row r="228" spans="1:19" ht="12.75">
      <c r="A228" s="633" t="s">
        <v>796</v>
      </c>
      <c r="B228" s="251">
        <v>1.97</v>
      </c>
      <c r="C228" s="1038" t="s">
        <v>862</v>
      </c>
      <c r="D228" s="194">
        <v>35</v>
      </c>
      <c r="E228" s="552">
        <v>1252.3472499999998</v>
      </c>
      <c r="F228" s="552">
        <v>649.0137500000005</v>
      </c>
      <c r="G228" s="552">
        <v>684.2027500000002</v>
      </c>
      <c r="H228" s="552">
        <v>1657.5405</v>
      </c>
      <c r="I228" s="659">
        <v>887.5212500000004</v>
      </c>
      <c r="J228" s="659">
        <v>196.77349999999961</v>
      </c>
      <c r="K228" s="659">
        <v>0</v>
      </c>
      <c r="L228" s="659">
        <v>0</v>
      </c>
      <c r="M228" s="928">
        <v>83.69900000000025</v>
      </c>
      <c r="N228" s="928">
        <v>245.24500000000018</v>
      </c>
      <c r="O228" s="1039">
        <v>586.8747500000005</v>
      </c>
      <c r="P228" s="1039">
        <v>890.6397499999999</v>
      </c>
      <c r="Q228" s="747">
        <f t="shared" si="4"/>
        <v>7133.857500000002</v>
      </c>
      <c r="R228" s="1358"/>
      <c r="S228" s="1361"/>
    </row>
    <row r="229" spans="1:19" ht="12.75">
      <c r="A229" s="631" t="s">
        <v>802</v>
      </c>
      <c r="B229" s="251">
        <v>6.5</v>
      </c>
      <c r="C229" s="1038" t="s">
        <v>863</v>
      </c>
      <c r="D229" s="194">
        <v>35</v>
      </c>
      <c r="E229" s="552">
        <v>3013.5</v>
      </c>
      <c r="F229" s="552">
        <v>2094.75</v>
      </c>
      <c r="G229" s="552">
        <v>1830.1499999999983</v>
      </c>
      <c r="H229" s="552">
        <v>5005.350000000002</v>
      </c>
      <c r="I229" s="659">
        <v>2322.5999999999976</v>
      </c>
      <c r="J229" s="659">
        <v>852.6000000000016</v>
      </c>
      <c r="K229" s="659">
        <v>183.75</v>
      </c>
      <c r="L229" s="659">
        <v>183.75</v>
      </c>
      <c r="M229" s="928">
        <v>632.1000000000016</v>
      </c>
      <c r="N229" s="928">
        <v>1744.89</v>
      </c>
      <c r="O229" s="1039">
        <v>2262.4035</v>
      </c>
      <c r="P229" s="1039">
        <v>4383.246</v>
      </c>
      <c r="Q229" s="747">
        <f t="shared" si="4"/>
        <v>24509.089500000002</v>
      </c>
      <c r="R229" s="1359"/>
      <c r="S229" s="1361"/>
    </row>
    <row r="230" spans="1:19" ht="12.75">
      <c r="A230" s="330" t="s">
        <v>1004</v>
      </c>
      <c r="B230" s="251">
        <v>2.13</v>
      </c>
      <c r="C230" s="1038" t="s">
        <v>1032</v>
      </c>
      <c r="D230" s="194">
        <v>35</v>
      </c>
      <c r="E230" s="552">
        <v>1052.7772500000005</v>
      </c>
      <c r="F230" s="552">
        <v>918.8602499999997</v>
      </c>
      <c r="G230" s="552">
        <v>570.738</v>
      </c>
      <c r="H230" s="552">
        <v>1024.0545000000006</v>
      </c>
      <c r="I230" s="659">
        <v>662.7914999999992</v>
      </c>
      <c r="J230" s="659">
        <v>333.95250000000067</v>
      </c>
      <c r="K230" s="659">
        <v>89.58074999999934</v>
      </c>
      <c r="L230" s="659">
        <v>9.623250000000441</v>
      </c>
      <c r="M230" s="929">
        <v>205.75800000000004</v>
      </c>
      <c r="N230" s="929">
        <v>277.05299999999966</v>
      </c>
      <c r="O230" s="1039">
        <v>493.4317500000004</v>
      </c>
      <c r="P230" s="1039">
        <v>1063.4609999999993</v>
      </c>
      <c r="Q230" s="747">
        <f t="shared" si="4"/>
        <v>6702.081749999999</v>
      </c>
      <c r="R230" s="1358"/>
      <c r="S230" s="1361"/>
    </row>
    <row r="231" spans="1:19" ht="12.75">
      <c r="A231" s="330" t="s">
        <v>1005</v>
      </c>
      <c r="B231" s="251">
        <v>0.83</v>
      </c>
      <c r="C231" s="1038" t="s">
        <v>1033</v>
      </c>
      <c r="D231" s="194">
        <v>10</v>
      </c>
      <c r="E231" s="552">
        <v>106.64100000000002</v>
      </c>
      <c r="F231" s="552">
        <v>100.668</v>
      </c>
      <c r="G231" s="552">
        <v>105.476</v>
      </c>
      <c r="H231" s="552">
        <v>222.62400000000002</v>
      </c>
      <c r="I231" s="659">
        <v>104.904</v>
      </c>
      <c r="J231" s="659">
        <v>39.867999999999945</v>
      </c>
      <c r="K231" s="659">
        <v>17.384000000000015</v>
      </c>
      <c r="L231" s="659">
        <v>16.04300000000012</v>
      </c>
      <c r="M231" s="929">
        <v>35.4219999999998</v>
      </c>
      <c r="N231" s="929">
        <v>32.94100000000003</v>
      </c>
      <c r="O231" s="1040">
        <v>81.067</v>
      </c>
      <c r="P231" s="1040">
        <v>189.365</v>
      </c>
      <c r="Q231" s="747">
        <f t="shared" si="4"/>
        <v>1052.403</v>
      </c>
      <c r="R231" s="1359"/>
      <c r="S231" s="1361"/>
    </row>
    <row r="232" spans="1:19" ht="12.75">
      <c r="A232" s="330" t="s">
        <v>1006</v>
      </c>
      <c r="B232" s="251">
        <v>3.36</v>
      </c>
      <c r="C232" s="1038" t="s">
        <v>1034</v>
      </c>
      <c r="D232" s="194">
        <v>35</v>
      </c>
      <c r="E232" s="552">
        <v>1089.792</v>
      </c>
      <c r="F232" s="552">
        <v>1201.7940000000003</v>
      </c>
      <c r="G232" s="552">
        <v>1268.718000000001</v>
      </c>
      <c r="H232" s="552">
        <v>2439.7560000000003</v>
      </c>
      <c r="I232" s="659">
        <v>1242.5160000000014</v>
      </c>
      <c r="J232" s="659">
        <v>214.89599999999814</v>
      </c>
      <c r="K232" s="659">
        <v>0</v>
      </c>
      <c r="L232" s="659">
        <v>0</v>
      </c>
      <c r="M232" s="928">
        <v>2.9039999999988595</v>
      </c>
      <c r="N232" s="928">
        <v>0</v>
      </c>
      <c r="O232" s="1039">
        <v>744.2160000000007</v>
      </c>
      <c r="P232" s="1039">
        <v>2231.657999999999</v>
      </c>
      <c r="Q232" s="747">
        <f t="shared" si="4"/>
        <v>10436.25</v>
      </c>
      <c r="R232" s="1358"/>
      <c r="S232" s="1361"/>
    </row>
    <row r="233" spans="1:19" ht="12.75">
      <c r="A233" s="330" t="s">
        <v>1007</v>
      </c>
      <c r="B233" s="251">
        <v>2.28</v>
      </c>
      <c r="C233" s="1038" t="s">
        <v>1035</v>
      </c>
      <c r="D233" s="194">
        <v>35</v>
      </c>
      <c r="E233" s="552">
        <v>83.47500000000002</v>
      </c>
      <c r="F233" s="552">
        <v>35.69999999999999</v>
      </c>
      <c r="G233" s="552">
        <v>73.5</v>
      </c>
      <c r="H233" s="552">
        <v>573.8250000000002</v>
      </c>
      <c r="I233" s="552">
        <v>226.27499999999998</v>
      </c>
      <c r="J233" s="552">
        <v>41.47500000000003</v>
      </c>
      <c r="K233" s="552">
        <v>0</v>
      </c>
      <c r="L233" s="552">
        <v>0</v>
      </c>
      <c r="M233" s="928">
        <v>0</v>
      </c>
      <c r="N233" s="928">
        <v>60.375</v>
      </c>
      <c r="O233" s="1039">
        <v>98.17499999999994</v>
      </c>
      <c r="P233" s="1039">
        <v>252</v>
      </c>
      <c r="Q233" s="747">
        <f t="shared" si="4"/>
        <v>1444.8000000000002</v>
      </c>
      <c r="R233" s="1359"/>
      <c r="S233" s="1361"/>
    </row>
    <row r="234" spans="1:19" ht="12.75">
      <c r="A234" s="330" t="s">
        <v>1008</v>
      </c>
      <c r="B234" s="251">
        <v>4.7</v>
      </c>
      <c r="C234" s="1038" t="s">
        <v>1008</v>
      </c>
      <c r="D234" s="194">
        <v>35</v>
      </c>
      <c r="E234" s="552">
        <v>639.1560000000004</v>
      </c>
      <c r="F234" s="552">
        <v>513.1699999999996</v>
      </c>
      <c r="G234" s="552">
        <v>358.6660000000004</v>
      </c>
      <c r="H234" s="552">
        <v>1327.438</v>
      </c>
      <c r="I234" s="659">
        <v>564.1859999999997</v>
      </c>
      <c r="J234" s="659">
        <v>280.168</v>
      </c>
      <c r="K234" s="659">
        <v>61.68400000000008</v>
      </c>
      <c r="L234" s="659">
        <v>0</v>
      </c>
      <c r="M234" s="928">
        <v>257.30600000000027</v>
      </c>
      <c r="N234" s="928">
        <v>553.91</v>
      </c>
      <c r="O234" s="1039">
        <v>873.963999999999</v>
      </c>
      <c r="P234" s="1039">
        <v>1629.922</v>
      </c>
      <c r="Q234" s="747">
        <f t="shared" si="4"/>
        <v>7059.57</v>
      </c>
      <c r="R234" s="1358"/>
      <c r="S234" s="1361"/>
    </row>
    <row r="235" spans="1:19" ht="12.75">
      <c r="A235" s="330" t="s">
        <v>1036</v>
      </c>
      <c r="B235" s="251">
        <v>1.9</v>
      </c>
      <c r="C235" s="1038" t="s">
        <v>1037</v>
      </c>
      <c r="D235" s="194">
        <v>35</v>
      </c>
      <c r="E235" s="552">
        <v>188.79</v>
      </c>
      <c r="F235" s="552">
        <v>0</v>
      </c>
      <c r="G235" s="552">
        <v>103.50550000000003</v>
      </c>
      <c r="H235" s="552">
        <v>248.99349999999998</v>
      </c>
      <c r="I235" s="659">
        <v>178.37050000000008</v>
      </c>
      <c r="J235" s="659">
        <v>25.147500000000008</v>
      </c>
      <c r="K235" s="659">
        <v>0</v>
      </c>
      <c r="L235" s="659">
        <v>3.2899999999999916</v>
      </c>
      <c r="M235" s="929">
        <v>35.181999999999874</v>
      </c>
      <c r="N235" s="929">
        <v>66.43000000000006</v>
      </c>
      <c r="O235" s="1039">
        <v>9.201500000000067</v>
      </c>
      <c r="P235" s="1039">
        <v>279.748</v>
      </c>
      <c r="Q235" s="747">
        <f t="shared" si="4"/>
        <v>1138.6585000000002</v>
      </c>
      <c r="R235" s="1359"/>
      <c r="S235" s="1361"/>
    </row>
    <row r="236" spans="1:19" ht="12.75">
      <c r="A236" s="633" t="s">
        <v>1038</v>
      </c>
      <c r="B236" s="251">
        <v>2.2</v>
      </c>
      <c r="C236" s="1038" t="s">
        <v>1039</v>
      </c>
      <c r="D236" s="194">
        <v>35</v>
      </c>
      <c r="E236" s="552">
        <v>550.592</v>
      </c>
      <c r="F236" s="552">
        <v>629.5415000000002</v>
      </c>
      <c r="G236" s="552">
        <v>616.2414999999999</v>
      </c>
      <c r="H236" s="552">
        <v>796.3479999999996</v>
      </c>
      <c r="I236" s="659">
        <v>318.7729999999999</v>
      </c>
      <c r="J236" s="659">
        <v>218.06750000000022</v>
      </c>
      <c r="K236" s="659">
        <v>75.73300000000052</v>
      </c>
      <c r="L236" s="659">
        <v>94.23749999999984</v>
      </c>
      <c r="M236" s="928">
        <v>185.23399999999992</v>
      </c>
      <c r="N236" s="928">
        <v>262.23749999999984</v>
      </c>
      <c r="O236" s="1040">
        <v>295.34749999999997</v>
      </c>
      <c r="P236" s="1040">
        <v>643.3384999999997</v>
      </c>
      <c r="Q236" s="747">
        <f t="shared" si="4"/>
        <v>4685.691499999999</v>
      </c>
      <c r="R236" s="1360"/>
      <c r="S236" s="1361"/>
    </row>
    <row r="237" spans="1:17" ht="12.75">
      <c r="A237" s="631" t="s">
        <v>1040</v>
      </c>
      <c r="B237" s="251">
        <v>1.7</v>
      </c>
      <c r="C237" s="1038" t="s">
        <v>1041</v>
      </c>
      <c r="D237" s="194">
        <v>35</v>
      </c>
      <c r="E237" s="552">
        <v>37.156</v>
      </c>
      <c r="F237" s="552">
        <v>38.668000000000006</v>
      </c>
      <c r="G237" s="552">
        <v>57.581999999999994</v>
      </c>
      <c r="H237" s="552">
        <v>574.476</v>
      </c>
      <c r="I237" s="659">
        <v>185.43000000000006</v>
      </c>
      <c r="J237" s="659">
        <v>48.60799999999992</v>
      </c>
      <c r="K237" s="659">
        <v>0</v>
      </c>
      <c r="L237" s="659">
        <v>0</v>
      </c>
      <c r="M237" s="928">
        <v>0</v>
      </c>
      <c r="N237" s="928">
        <v>21.434000000000083</v>
      </c>
      <c r="O237" s="1039">
        <v>240.11399999999995</v>
      </c>
      <c r="P237" s="1039">
        <v>614.3340000000003</v>
      </c>
      <c r="Q237" s="747">
        <f t="shared" si="4"/>
        <v>1817.8020000000004</v>
      </c>
    </row>
    <row r="238" spans="1:17" ht="12.75">
      <c r="A238" s="1049" t="s">
        <v>1042</v>
      </c>
      <c r="B238" s="1050">
        <v>1.98</v>
      </c>
      <c r="C238" s="1051" t="s">
        <v>1043</v>
      </c>
      <c r="D238" s="1052">
        <v>20</v>
      </c>
      <c r="E238" s="1053">
        <v>0</v>
      </c>
      <c r="F238" s="1053">
        <v>719.7869928099999</v>
      </c>
      <c r="G238" s="1053">
        <v>568.4888698300001</v>
      </c>
      <c r="H238" s="1053">
        <v>1038.6650506199999</v>
      </c>
      <c r="I238" s="1054">
        <v>1446.2994375500002</v>
      </c>
      <c r="J238" s="1054">
        <v>836.6560382699998</v>
      </c>
      <c r="K238" s="1054">
        <v>171.53993329000005</v>
      </c>
      <c r="L238" s="1054">
        <v>51.054525600000076</v>
      </c>
      <c r="M238" s="1055">
        <v>280.8653453199998</v>
      </c>
      <c r="N238" s="1055">
        <v>433.7016495200003</v>
      </c>
      <c r="O238" s="1055">
        <v>547.8379687699996</v>
      </c>
      <c r="P238" s="1055">
        <v>1205.7540765499998</v>
      </c>
      <c r="Q238" s="1056">
        <f t="shared" si="4"/>
        <v>7300.649888129999</v>
      </c>
    </row>
    <row r="239" spans="1:17" ht="12.75">
      <c r="A239" s="1049" t="s">
        <v>1314</v>
      </c>
      <c r="B239" s="1050">
        <v>0.45</v>
      </c>
      <c r="C239" s="1051" t="s">
        <v>1372</v>
      </c>
      <c r="D239" s="1052"/>
      <c r="E239" s="1053"/>
      <c r="F239" s="1053"/>
      <c r="G239" s="1053"/>
      <c r="H239" s="1053"/>
      <c r="I239" s="1054"/>
      <c r="J239" s="1054"/>
      <c r="K239" s="1054"/>
      <c r="L239" s="1054"/>
      <c r="M239" s="1055">
        <v>0</v>
      </c>
      <c r="N239" s="1055">
        <v>16</v>
      </c>
      <c r="O239" s="1055">
        <v>87.276</v>
      </c>
      <c r="P239" s="1055">
        <v>250.6968</v>
      </c>
      <c r="Q239" s="1056">
        <f t="shared" si="4"/>
        <v>353.9728</v>
      </c>
    </row>
    <row r="240" spans="1:17" ht="12.75">
      <c r="A240" s="1057" t="s">
        <v>1347</v>
      </c>
      <c r="B240" s="1058">
        <v>1.98</v>
      </c>
      <c r="C240" s="1309" t="s">
        <v>1369</v>
      </c>
      <c r="D240" s="1052"/>
      <c r="E240" s="1053">
        <v>0</v>
      </c>
      <c r="F240" s="1053">
        <v>0</v>
      </c>
      <c r="G240" s="1053">
        <v>0</v>
      </c>
      <c r="H240" s="1053">
        <v>199.116</v>
      </c>
      <c r="I240" s="1059">
        <v>452.3204999999999</v>
      </c>
      <c r="J240" s="1059">
        <v>499.7204999999999</v>
      </c>
      <c r="K240" s="1059">
        <v>219.18600000000004</v>
      </c>
      <c r="L240" s="1059">
        <v>100.55400000000009</v>
      </c>
      <c r="M240" s="1060">
        <v>218.8739999999999</v>
      </c>
      <c r="N240" s="1060">
        <v>256.5809999999998</v>
      </c>
      <c r="O240" s="1060">
        <v>320.8020000000006</v>
      </c>
      <c r="P240" s="1060">
        <v>825.9052099999993</v>
      </c>
      <c r="Q240" s="1061">
        <f t="shared" si="4"/>
        <v>3093.0592099999994</v>
      </c>
    </row>
    <row r="241" spans="1:17" ht="12.75">
      <c r="A241" s="1062" t="s">
        <v>1348</v>
      </c>
      <c r="B241" s="1050">
        <v>1.8</v>
      </c>
      <c r="C241" s="1063" t="s">
        <v>1370</v>
      </c>
      <c r="D241" s="1064"/>
      <c r="E241" s="1065"/>
      <c r="F241" s="1065"/>
      <c r="G241" s="1065"/>
      <c r="H241" s="1065"/>
      <c r="I241" s="1054"/>
      <c r="J241" s="1054"/>
      <c r="K241" s="1054"/>
      <c r="L241" s="1054"/>
      <c r="M241" s="1065"/>
      <c r="N241" s="1065">
        <v>0</v>
      </c>
      <c r="O241" s="1065">
        <v>0</v>
      </c>
      <c r="P241" s="1065">
        <v>245.72799999999998</v>
      </c>
      <c r="Q241" s="1066">
        <f t="shared" si="4"/>
        <v>245.72799999999998</v>
      </c>
    </row>
    <row r="242" spans="1:17" ht="12.75">
      <c r="A242" s="1062" t="s">
        <v>1349</v>
      </c>
      <c r="B242" s="1050">
        <v>1.49</v>
      </c>
      <c r="C242" s="1063" t="s">
        <v>1371</v>
      </c>
      <c r="D242" s="1064"/>
      <c r="E242" s="1065"/>
      <c r="F242" s="1065"/>
      <c r="G242" s="1065"/>
      <c r="H242" s="1065"/>
      <c r="I242" s="1054"/>
      <c r="J242" s="1054"/>
      <c r="K242" s="1054"/>
      <c r="L242" s="1054"/>
      <c r="M242" s="1065"/>
      <c r="N242" s="1065">
        <v>0</v>
      </c>
      <c r="O242" s="1065">
        <v>0</v>
      </c>
      <c r="P242" s="1065">
        <v>1056.356</v>
      </c>
      <c r="Q242" s="1066">
        <f t="shared" si="4"/>
        <v>1056.356</v>
      </c>
    </row>
    <row r="243" spans="1:17" ht="13.5" thickBot="1">
      <c r="A243" s="634"/>
      <c r="B243" s="331">
        <f>SUM(B72:B242)</f>
        <v>325.4160000000001</v>
      </c>
      <c r="C243" s="197"/>
      <c r="D243" s="198"/>
      <c r="E243" s="1042">
        <f>SUM(E72:E242)</f>
        <v>85532.62185912002</v>
      </c>
      <c r="F243" s="1042">
        <f aca="true" t="shared" si="5" ref="F243:Q243">SUM(F72:F242)</f>
        <v>76303.99371793002</v>
      </c>
      <c r="G243" s="1042">
        <f t="shared" si="5"/>
        <v>76752.21409690997</v>
      </c>
      <c r="H243" s="1042">
        <f t="shared" si="5"/>
        <v>158669.54155230004</v>
      </c>
      <c r="I243" s="1042">
        <f t="shared" si="5"/>
        <v>100879.20518959001</v>
      </c>
      <c r="J243" s="1042">
        <f t="shared" si="5"/>
        <v>38712.23693434997</v>
      </c>
      <c r="K243" s="1042">
        <f t="shared" si="5"/>
        <v>17284.297852609994</v>
      </c>
      <c r="L243" s="1042">
        <f t="shared" si="5"/>
        <v>12914.173569559976</v>
      </c>
      <c r="M243" s="1042">
        <f t="shared" si="5"/>
        <v>22656.891490960028</v>
      </c>
      <c r="N243" s="1042">
        <f t="shared" si="5"/>
        <v>33501.44569487999</v>
      </c>
      <c r="O243" s="1042">
        <f t="shared" si="5"/>
        <v>62022.051121930024</v>
      </c>
      <c r="P243" s="1042">
        <f t="shared" si="5"/>
        <v>118093.29578083009</v>
      </c>
      <c r="Q243" s="1042">
        <f t="shared" si="5"/>
        <v>803321.9688609705</v>
      </c>
    </row>
    <row r="245" spans="1:17" ht="12.75">
      <c r="A245" s="1844" t="s">
        <v>1044</v>
      </c>
      <c r="B245" s="1844"/>
      <c r="C245" s="1844"/>
      <c r="D245" s="1844"/>
      <c r="E245" s="1844"/>
      <c r="F245" s="1844"/>
      <c r="G245" s="1844"/>
      <c r="H245" s="1844"/>
      <c r="I245" s="1844"/>
      <c r="J245" s="1844"/>
      <c r="K245" s="1844"/>
      <c r="L245" s="1844"/>
      <c r="M245" s="1844"/>
      <c r="N245" s="1844"/>
      <c r="O245" s="1844"/>
      <c r="P245" s="1844"/>
      <c r="Q245" s="1844"/>
    </row>
    <row r="246" spans="1:17" ht="12.75">
      <c r="A246" s="223" t="s">
        <v>633</v>
      </c>
      <c r="B246" s="223" t="s">
        <v>151</v>
      </c>
      <c r="C246" s="223" t="s">
        <v>152</v>
      </c>
      <c r="D246" s="164" t="s">
        <v>92</v>
      </c>
      <c r="E246" s="253" t="s">
        <v>87</v>
      </c>
      <c r="F246" s="253" t="s">
        <v>88</v>
      </c>
      <c r="G246" s="253" t="s">
        <v>89</v>
      </c>
      <c r="H246" s="253" t="s">
        <v>90</v>
      </c>
      <c r="I246" s="601" t="s">
        <v>1003</v>
      </c>
      <c r="J246" s="601" t="s">
        <v>1018</v>
      </c>
      <c r="K246" s="601" t="s">
        <v>1178</v>
      </c>
      <c r="L246" s="601" t="s">
        <v>1179</v>
      </c>
      <c r="M246" s="601" t="s">
        <v>1306</v>
      </c>
      <c r="N246" s="601" t="s">
        <v>1312</v>
      </c>
      <c r="O246" s="601"/>
      <c r="P246" s="601"/>
      <c r="Q246" s="602" t="s">
        <v>1313</v>
      </c>
    </row>
    <row r="247" spans="1:17" ht="12.75">
      <c r="A247" s="254" t="s">
        <v>634</v>
      </c>
      <c r="B247" s="457">
        <v>1</v>
      </c>
      <c r="C247" s="254" t="s">
        <v>73</v>
      </c>
      <c r="D247" s="176"/>
      <c r="E247" s="255"/>
      <c r="F247" s="255"/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6"/>
    </row>
    <row r="248" spans="1:17" ht="12.75">
      <c r="A248" s="1044" t="s">
        <v>623</v>
      </c>
      <c r="B248" s="224">
        <v>2</v>
      </c>
      <c r="C248" s="1044" t="s">
        <v>624</v>
      </c>
      <c r="D248" s="1045" t="s">
        <v>206</v>
      </c>
      <c r="E248" s="1046">
        <v>234.22000000000025</v>
      </c>
      <c r="F248" s="1046">
        <v>273.48999999999955</v>
      </c>
      <c r="G248" s="1046">
        <v>353.0800000000004</v>
      </c>
      <c r="H248" s="1046">
        <v>397.73999999999955</v>
      </c>
      <c r="I248" s="1046">
        <v>465.8499999999997</v>
      </c>
      <c r="J248" s="1046">
        <v>463.8899999999999</v>
      </c>
      <c r="K248" s="1046">
        <v>510.72000000000025</v>
      </c>
      <c r="L248" s="1046">
        <v>446.6000000000013</v>
      </c>
      <c r="M248" s="1046">
        <v>372.1199999999989</v>
      </c>
      <c r="N248" s="1046">
        <v>316.89</v>
      </c>
      <c r="O248" s="1046">
        <v>178.4299999999985</v>
      </c>
      <c r="P248" s="1046">
        <v>166.13100000000242</v>
      </c>
      <c r="Q248" s="1046">
        <v>4179.161000000001</v>
      </c>
    </row>
    <row r="249" spans="1:17" ht="12.75">
      <c r="A249" s="1047" t="s">
        <v>625</v>
      </c>
      <c r="B249" s="257">
        <v>2</v>
      </c>
      <c r="C249" s="1047" t="s">
        <v>626</v>
      </c>
      <c r="D249" s="225" t="s">
        <v>206</v>
      </c>
      <c r="E249" s="1046">
        <v>232.3299999999988</v>
      </c>
      <c r="F249" s="1046">
        <v>272.3700000000006</v>
      </c>
      <c r="G249" s="1046">
        <v>353.43000000000006</v>
      </c>
      <c r="H249" s="1046">
        <v>396.1299999999994</v>
      </c>
      <c r="I249" s="1046">
        <v>463.1900000000005</v>
      </c>
      <c r="J249" s="1046">
        <v>461.3700000000006</v>
      </c>
      <c r="K249" s="1046">
        <v>507.00999999999885</v>
      </c>
      <c r="L249" s="1046">
        <v>443.9400000000005</v>
      </c>
      <c r="M249" s="1046">
        <v>373.58999999999924</v>
      </c>
      <c r="N249" s="1046">
        <v>317.5200000000009</v>
      </c>
      <c r="O249" s="1046">
        <v>177.24000000000115</v>
      </c>
      <c r="P249" s="1046">
        <v>164.793999999999</v>
      </c>
      <c r="Q249" s="1046">
        <v>4162.914</v>
      </c>
    </row>
    <row r="250" spans="1:17" ht="12.75">
      <c r="A250" s="1047" t="s">
        <v>627</v>
      </c>
      <c r="B250" s="257">
        <v>2</v>
      </c>
      <c r="C250" s="1047" t="s">
        <v>628</v>
      </c>
      <c r="D250" s="225" t="s">
        <v>206</v>
      </c>
      <c r="E250" s="1046">
        <v>239.26000000000045</v>
      </c>
      <c r="F250" s="1046">
        <v>280.48999999999955</v>
      </c>
      <c r="G250" s="1046">
        <v>362.8800000000011</v>
      </c>
      <c r="H250" s="1046">
        <v>406.6299999999994</v>
      </c>
      <c r="I250" s="1046">
        <v>474.8099999999995</v>
      </c>
      <c r="J250" s="1046">
        <v>472.9200000000012</v>
      </c>
      <c r="K250" s="1046">
        <v>519.6100000000001</v>
      </c>
      <c r="L250" s="1046">
        <v>454.9299999999985</v>
      </c>
      <c r="M250" s="1046">
        <v>383.6000000000013</v>
      </c>
      <c r="N250" s="1046">
        <v>326.6199999999989</v>
      </c>
      <c r="O250" s="1046">
        <v>183.19000000000054</v>
      </c>
      <c r="P250" s="1046">
        <v>170.07899999999873</v>
      </c>
      <c r="Q250" s="1046">
        <v>4275.019</v>
      </c>
    </row>
    <row r="251" spans="1:17" ht="12.75">
      <c r="A251" s="1047" t="s">
        <v>629</v>
      </c>
      <c r="B251" s="224">
        <v>2</v>
      </c>
      <c r="C251" s="1047" t="s">
        <v>630</v>
      </c>
      <c r="D251" s="225" t="s">
        <v>206</v>
      </c>
      <c r="E251" s="1046">
        <v>230.65000000000032</v>
      </c>
      <c r="F251" s="1046">
        <v>271.0400000000002</v>
      </c>
      <c r="G251" s="1046">
        <v>351.9599999999998</v>
      </c>
      <c r="H251" s="1046">
        <v>395.5</v>
      </c>
      <c r="I251" s="1046">
        <v>463.26000000000045</v>
      </c>
      <c r="J251" s="1046">
        <v>461.1599999999992</v>
      </c>
      <c r="K251" s="1046">
        <v>506.9400000000005</v>
      </c>
      <c r="L251" s="1046">
        <v>444.00999999999885</v>
      </c>
      <c r="M251" s="1046">
        <v>374.1500000000019</v>
      </c>
      <c r="N251" s="1046">
        <v>316.8899999999999</v>
      </c>
      <c r="O251" s="1046">
        <v>176.5399999999986</v>
      </c>
      <c r="P251" s="1046">
        <v>163.765000000001</v>
      </c>
      <c r="Q251" s="1046">
        <v>4155.865000000001</v>
      </c>
    </row>
    <row r="252" spans="1:17" ht="12.75">
      <c r="A252" s="1047" t="s">
        <v>631</v>
      </c>
      <c r="B252" s="224">
        <v>2</v>
      </c>
      <c r="C252" s="1047" t="s">
        <v>632</v>
      </c>
      <c r="D252" s="225" t="s">
        <v>206</v>
      </c>
      <c r="E252" s="1046">
        <v>247.37999999999943</v>
      </c>
      <c r="F252" s="1046">
        <v>290.01000000000045</v>
      </c>
      <c r="G252" s="1046">
        <v>371.6299999999994</v>
      </c>
      <c r="H252" s="1046">
        <v>415.8700000000006</v>
      </c>
      <c r="I252" s="1046">
        <v>486.43000000000006</v>
      </c>
      <c r="J252" s="1046">
        <v>482.30000000000064</v>
      </c>
      <c r="K252" s="1046">
        <v>526.9599999999982</v>
      </c>
      <c r="L252" s="1046">
        <v>465.1500000000019</v>
      </c>
      <c r="M252" s="1046">
        <v>395.8499999999981</v>
      </c>
      <c r="N252" s="1046">
        <v>337.75</v>
      </c>
      <c r="O252" s="1046">
        <v>189.13999999999987</v>
      </c>
      <c r="P252" s="1046">
        <v>174.9650000000009</v>
      </c>
      <c r="Q252" s="1046">
        <v>4383.4349999999995</v>
      </c>
    </row>
    <row r="253" spans="1:17" ht="12.75">
      <c r="A253" s="219" t="s">
        <v>691</v>
      </c>
      <c r="B253" s="202">
        <v>2</v>
      </c>
      <c r="C253" s="219" t="s">
        <v>692</v>
      </c>
      <c r="D253" s="225" t="s">
        <v>206</v>
      </c>
      <c r="E253" s="1046">
        <v>247.7300000000007</v>
      </c>
      <c r="F253" s="1046">
        <v>283.01000000000045</v>
      </c>
      <c r="G253" s="1046">
        <v>357.5599999999995</v>
      </c>
      <c r="H253" s="1046">
        <v>394.3799999999994</v>
      </c>
      <c r="I253" s="1046">
        <v>447.6500000000003</v>
      </c>
      <c r="J253" s="1046">
        <v>436.9400000000005</v>
      </c>
      <c r="K253" s="1046">
        <v>482.8600000000001</v>
      </c>
      <c r="L253" s="1046">
        <v>426.93000000000006</v>
      </c>
      <c r="M253" s="1046">
        <v>364.5599999999995</v>
      </c>
      <c r="N253" s="1046">
        <v>324.23999999999955</v>
      </c>
      <c r="O253" s="1046">
        <v>184.87000000000057</v>
      </c>
      <c r="P253" s="1046">
        <v>176.5329999999993</v>
      </c>
      <c r="Q253" s="1046">
        <v>4127.263</v>
      </c>
    </row>
    <row r="254" spans="1:17" ht="12.75">
      <c r="A254" s="219" t="s">
        <v>823</v>
      </c>
      <c r="B254" s="202">
        <v>2</v>
      </c>
      <c r="C254" s="219" t="s">
        <v>823</v>
      </c>
      <c r="D254" s="225" t="s">
        <v>206</v>
      </c>
      <c r="E254" s="1046">
        <v>274.31250000000017</v>
      </c>
      <c r="F254" s="1046">
        <v>312.0599999999999</v>
      </c>
      <c r="G254" s="1046">
        <v>395.2724999999998</v>
      </c>
      <c r="H254" s="1046">
        <v>435.2774999999998</v>
      </c>
      <c r="I254" s="1046">
        <v>496.01999999999987</v>
      </c>
      <c r="J254" s="1046">
        <v>484.0325000000009</v>
      </c>
      <c r="K254" s="1046">
        <v>531.1074999999997</v>
      </c>
      <c r="L254" s="1046">
        <v>470.01500000000004</v>
      </c>
      <c r="M254" s="1046">
        <v>408.6775000000002</v>
      </c>
      <c r="N254" s="1046">
        <v>356.4399999999999</v>
      </c>
      <c r="O254" s="1046">
        <v>203.6475</v>
      </c>
      <c r="P254" s="1046">
        <v>193.0599999999987</v>
      </c>
      <c r="Q254" s="1046">
        <v>4559.922499999999</v>
      </c>
    </row>
    <row r="255" spans="1:17" ht="12.75">
      <c r="A255" s="219" t="s">
        <v>824</v>
      </c>
      <c r="B255" s="202">
        <v>2</v>
      </c>
      <c r="C255" s="219" t="s">
        <v>824</v>
      </c>
      <c r="D255" s="225" t="s">
        <v>206</v>
      </c>
      <c r="E255" s="1046">
        <v>273.8224999999998</v>
      </c>
      <c r="F255" s="1046">
        <v>310.1875000000004</v>
      </c>
      <c r="G255" s="1046">
        <v>392.85750000000024</v>
      </c>
      <c r="H255" s="1046">
        <v>432.4774999999994</v>
      </c>
      <c r="I255" s="1046">
        <v>491.82000000000073</v>
      </c>
      <c r="J255" s="1046">
        <v>482.4924999999995</v>
      </c>
      <c r="K255" s="1046">
        <v>528.6750000000006</v>
      </c>
      <c r="L255" s="1046">
        <v>468.0899999999998</v>
      </c>
      <c r="M255" s="1046">
        <v>406.5599999999995</v>
      </c>
      <c r="N255" s="1046">
        <v>356.30000000000024</v>
      </c>
      <c r="O255" s="1046">
        <v>202.80749999999998</v>
      </c>
      <c r="P255" s="1046">
        <v>192.920000000001</v>
      </c>
      <c r="Q255" s="1046">
        <v>4539.010000000001</v>
      </c>
    </row>
    <row r="256" spans="1:17" ht="12.75">
      <c r="A256" s="219" t="s">
        <v>693</v>
      </c>
      <c r="B256" s="202">
        <v>2</v>
      </c>
      <c r="C256" s="219" t="s">
        <v>694</v>
      </c>
      <c r="D256" s="225" t="s">
        <v>206</v>
      </c>
      <c r="E256" s="1046">
        <v>250.54400000000007</v>
      </c>
      <c r="F256" s="1046">
        <v>247.3520000000004</v>
      </c>
      <c r="G256" s="1046">
        <v>324.82799999999935</v>
      </c>
      <c r="H256" s="1046">
        <v>349.2720000000006</v>
      </c>
      <c r="I256" s="1046">
        <v>429.9960000000005</v>
      </c>
      <c r="J256" s="1046">
        <v>406.16799999999984</v>
      </c>
      <c r="K256" s="1046">
        <v>443.82799999999935</v>
      </c>
      <c r="L256" s="1046">
        <v>373.7160000000007</v>
      </c>
      <c r="M256" s="1046">
        <v>353.83599999999973</v>
      </c>
      <c r="N256" s="1046">
        <v>358.7640000000003</v>
      </c>
      <c r="O256" s="1046">
        <v>195.35599999999994</v>
      </c>
      <c r="P256" s="1046">
        <v>165.2</v>
      </c>
      <c r="Q256" s="1046">
        <v>3898.860000000001</v>
      </c>
    </row>
    <row r="257" spans="1:17" ht="12.75">
      <c r="A257" s="219" t="s">
        <v>1045</v>
      </c>
      <c r="B257" s="202">
        <v>2</v>
      </c>
      <c r="C257" s="219" t="s">
        <v>1046</v>
      </c>
      <c r="D257" s="1048" t="s">
        <v>206</v>
      </c>
      <c r="E257" s="204">
        <v>0</v>
      </c>
      <c r="F257" s="204">
        <v>0</v>
      </c>
      <c r="G257" s="204">
        <v>0</v>
      </c>
      <c r="H257" s="204">
        <v>51.52700000000001</v>
      </c>
      <c r="I257" s="204">
        <v>75.901</v>
      </c>
      <c r="J257" s="204">
        <v>84.98700000000001</v>
      </c>
      <c r="K257" s="204">
        <v>93.14199999999998</v>
      </c>
      <c r="L257" s="204">
        <v>70.25200000000001</v>
      </c>
      <c r="M257" s="204">
        <v>54.396999999999956</v>
      </c>
      <c r="N257" s="204">
        <v>38.93400000000008</v>
      </c>
      <c r="O257" s="204">
        <v>18.171999999999926</v>
      </c>
      <c r="P257" s="204">
        <v>16.112000000000098</v>
      </c>
      <c r="Q257" s="204">
        <v>503.42400000000004</v>
      </c>
    </row>
    <row r="258" spans="1:17" ht="12.75">
      <c r="A258" s="219"/>
      <c r="B258" s="202"/>
      <c r="C258" s="219" t="s">
        <v>1350</v>
      </c>
      <c r="D258" s="1048" t="s">
        <v>206</v>
      </c>
      <c r="E258" s="1046">
        <v>0</v>
      </c>
      <c r="F258" s="1046">
        <v>0</v>
      </c>
      <c r="G258" s="1046">
        <v>0</v>
      </c>
      <c r="H258" s="1046">
        <v>0</v>
      </c>
      <c r="I258" s="1046">
        <v>0</v>
      </c>
      <c r="J258" s="1046">
        <v>0</v>
      </c>
      <c r="K258" s="1046">
        <v>0</v>
      </c>
      <c r="L258" s="1046">
        <v>6792.2896</v>
      </c>
      <c r="M258" s="1046">
        <v>0</v>
      </c>
      <c r="N258" s="1046">
        <v>0</v>
      </c>
      <c r="O258" s="1046">
        <v>0</v>
      </c>
      <c r="P258" s="1046">
        <v>0</v>
      </c>
      <c r="Q258" s="1046">
        <v>6792.2896</v>
      </c>
    </row>
    <row r="259" spans="1:17" ht="12.75">
      <c r="A259" s="202" t="s">
        <v>1351</v>
      </c>
      <c r="B259" s="555">
        <v>2</v>
      </c>
      <c r="C259" s="202" t="s">
        <v>695</v>
      </c>
      <c r="D259" s="225" t="s">
        <v>696</v>
      </c>
      <c r="E259" s="1046">
        <v>251.70000000000027</v>
      </c>
      <c r="F259" s="1046">
        <v>341.1000000000008</v>
      </c>
      <c r="G259" s="1046">
        <v>362.3999999999992</v>
      </c>
      <c r="H259" s="1046">
        <v>398.1000000000008</v>
      </c>
      <c r="I259" s="1046">
        <v>510</v>
      </c>
      <c r="J259" s="1046">
        <v>514.5</v>
      </c>
      <c r="K259" s="1046">
        <v>563.1</v>
      </c>
      <c r="L259" s="1046">
        <v>466.5</v>
      </c>
      <c r="M259" s="1046">
        <v>426.90000000000055</v>
      </c>
      <c r="N259" s="1046">
        <v>353.40000000000055</v>
      </c>
      <c r="O259" s="1046">
        <v>181.19999999999888</v>
      </c>
      <c r="P259" s="1046">
        <v>146.09999999999945</v>
      </c>
      <c r="Q259" s="1046">
        <v>4515</v>
      </c>
    </row>
    <row r="260" spans="2:17" ht="13.5" thickBot="1">
      <c r="B260" s="456">
        <v>23</v>
      </c>
      <c r="E260" s="518">
        <f aca="true" t="shared" si="6" ref="E260:Q260">SUM(E248:E259)</f>
        <v>2481.949</v>
      </c>
      <c r="F260" s="518">
        <f t="shared" si="6"/>
        <v>2881.1095000000023</v>
      </c>
      <c r="G260" s="518">
        <f t="shared" si="6"/>
        <v>3625.897999999999</v>
      </c>
      <c r="H260" s="518">
        <f t="shared" si="6"/>
        <v>4072.903999999999</v>
      </c>
      <c r="I260" s="518">
        <f t="shared" si="6"/>
        <v>4804.9270000000015</v>
      </c>
      <c r="J260" s="518">
        <f t="shared" si="6"/>
        <v>4750.760000000002</v>
      </c>
      <c r="K260" s="518">
        <f t="shared" si="6"/>
        <v>5213.952499999998</v>
      </c>
      <c r="L260" s="518">
        <f t="shared" si="6"/>
        <v>11322.422600000002</v>
      </c>
      <c r="M260" s="518">
        <f t="shared" si="6"/>
        <v>3914.240499999999</v>
      </c>
      <c r="N260" s="518">
        <f t="shared" si="6"/>
        <v>3403.748</v>
      </c>
      <c r="O260" s="518">
        <f t="shared" si="6"/>
        <v>1890.592999999998</v>
      </c>
      <c r="P260" s="518">
        <f t="shared" si="6"/>
        <v>1729.6590000000008</v>
      </c>
      <c r="Q260" s="518">
        <f t="shared" si="6"/>
        <v>50092.163100000005</v>
      </c>
    </row>
    <row r="261" ht="13.5" thickBot="1"/>
    <row r="262" spans="1:17" ht="13.5" thickBot="1">
      <c r="A262" s="270" t="s">
        <v>727</v>
      </c>
      <c r="B262" s="269">
        <f>B260+B243+B68</f>
        <v>2614.416</v>
      </c>
      <c r="C262" s="271" t="s">
        <v>151</v>
      </c>
      <c r="Q262" s="635">
        <f>Q260+Q243+Q68+Q19+Q17+Q7</f>
        <v>7002642.6404316705</v>
      </c>
    </row>
    <row r="263" ht="13.5" thickBot="1">
      <c r="Q263" s="636"/>
    </row>
    <row r="264" spans="2:17" ht="13.5" thickBot="1">
      <c r="B264" s="637"/>
      <c r="C264" s="906"/>
      <c r="D264" s="906"/>
      <c r="E264" s="906"/>
      <c r="F264" s="906"/>
      <c r="G264" s="906"/>
      <c r="H264" s="906"/>
      <c r="I264" s="1858" t="s">
        <v>1047</v>
      </c>
      <c r="J264" s="1859"/>
      <c r="K264" s="1859"/>
      <c r="L264" s="1859"/>
      <c r="M264" s="1859"/>
      <c r="N264" s="1859"/>
      <c r="O264" s="1859"/>
      <c r="P264" s="1859"/>
      <c r="Q264" s="1860"/>
    </row>
  </sheetData>
  <sheetProtection/>
  <mergeCells count="244">
    <mergeCell ref="I264:Q264"/>
    <mergeCell ref="Q49:Q51"/>
    <mergeCell ref="Q53:Q54"/>
    <mergeCell ref="Q55:Q56"/>
    <mergeCell ref="Q57:Q59"/>
    <mergeCell ref="A70:Q70"/>
    <mergeCell ref="Q169:Q171"/>
    <mergeCell ref="Q181:Q182"/>
    <mergeCell ref="Q192:Q193"/>
    <mergeCell ref="Q194:Q195"/>
    <mergeCell ref="M192:M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N194:N195"/>
    <mergeCell ref="K194:K195"/>
    <mergeCell ref="L194:L195"/>
    <mergeCell ref="M194:M195"/>
    <mergeCell ref="E192:E193"/>
    <mergeCell ref="A1:Q1"/>
    <mergeCell ref="Q3:Q5"/>
    <mergeCell ref="Q8:Q11"/>
    <mergeCell ref="Q21:Q22"/>
    <mergeCell ref="Q26:Q30"/>
    <mergeCell ref="Q31:Q33"/>
    <mergeCell ref="Q38:Q40"/>
    <mergeCell ref="Q43:Q45"/>
    <mergeCell ref="Q46:Q47"/>
    <mergeCell ref="F43:F45"/>
    <mergeCell ref="G43:G45"/>
    <mergeCell ref="H43:H45"/>
    <mergeCell ref="I43:I45"/>
    <mergeCell ref="J43:J45"/>
    <mergeCell ref="K43:K45"/>
    <mergeCell ref="L43:L45"/>
    <mergeCell ref="G46:G47"/>
    <mergeCell ref="H46:H47"/>
    <mergeCell ref="I46:I47"/>
    <mergeCell ref="J46:J47"/>
    <mergeCell ref="N46:N47"/>
    <mergeCell ref="N43:N45"/>
    <mergeCell ref="C3:C5"/>
    <mergeCell ref="C31:C33"/>
    <mergeCell ref="F192:F193"/>
    <mergeCell ref="G192:G193"/>
    <mergeCell ref="H192:H193"/>
    <mergeCell ref="I192:I193"/>
    <mergeCell ref="J192:J193"/>
    <mergeCell ref="K192:K193"/>
    <mergeCell ref="L192:L193"/>
    <mergeCell ref="A245:Q245"/>
    <mergeCell ref="E169:E171"/>
    <mergeCell ref="F169:F171"/>
    <mergeCell ref="G169:G171"/>
    <mergeCell ref="H169:H171"/>
    <mergeCell ref="I169:I171"/>
    <mergeCell ref="J169:J171"/>
    <mergeCell ref="N169:N171"/>
    <mergeCell ref="C181:C182"/>
    <mergeCell ref="E181:E182"/>
    <mergeCell ref="F181:F182"/>
    <mergeCell ref="G181:G182"/>
    <mergeCell ref="H181:H182"/>
    <mergeCell ref="I181:I182"/>
    <mergeCell ref="J181:J182"/>
    <mergeCell ref="N181:N182"/>
    <mergeCell ref="K181:K182"/>
    <mergeCell ref="L181:L182"/>
    <mergeCell ref="M181:M182"/>
    <mergeCell ref="M169:M171"/>
    <mergeCell ref="K169:K171"/>
    <mergeCell ref="L169:L171"/>
    <mergeCell ref="J55:J56"/>
    <mergeCell ref="N55:N56"/>
    <mergeCell ref="C57:C59"/>
    <mergeCell ref="E57:E59"/>
    <mergeCell ref="F57:F59"/>
    <mergeCell ref="G57:G59"/>
    <mergeCell ref="H57:H59"/>
    <mergeCell ref="I57:I59"/>
    <mergeCell ref="J57:J59"/>
    <mergeCell ref="N57:N59"/>
    <mergeCell ref="C55:C56"/>
    <mergeCell ref="E55:E56"/>
    <mergeCell ref="F55:F56"/>
    <mergeCell ref="G55:G56"/>
    <mergeCell ref="H55:H56"/>
    <mergeCell ref="I55:I56"/>
    <mergeCell ref="K55:K56"/>
    <mergeCell ref="L55:L56"/>
    <mergeCell ref="K57:K59"/>
    <mergeCell ref="L57:L59"/>
    <mergeCell ref="M57:M59"/>
    <mergeCell ref="M55:M56"/>
    <mergeCell ref="C49:C51"/>
    <mergeCell ref="E49:E51"/>
    <mergeCell ref="F49:F51"/>
    <mergeCell ref="G49:G51"/>
    <mergeCell ref="H49:H51"/>
    <mergeCell ref="I49:I51"/>
    <mergeCell ref="J49:J51"/>
    <mergeCell ref="I53:I54"/>
    <mergeCell ref="J53:J54"/>
    <mergeCell ref="N53:N54"/>
    <mergeCell ref="K49:K51"/>
    <mergeCell ref="L49:L51"/>
    <mergeCell ref="K53:K54"/>
    <mergeCell ref="L53:L54"/>
    <mergeCell ref="M49:M51"/>
    <mergeCell ref="M53:M54"/>
    <mergeCell ref="N3:N5"/>
    <mergeCell ref="N8:N11"/>
    <mergeCell ref="M3:M5"/>
    <mergeCell ref="M8:M11"/>
    <mergeCell ref="M21:M22"/>
    <mergeCell ref="M26:M30"/>
    <mergeCell ref="M31:M33"/>
    <mergeCell ref="L26:L30"/>
    <mergeCell ref="M38:M40"/>
    <mergeCell ref="I8:I11"/>
    <mergeCell ref="J8:J11"/>
    <mergeCell ref="E3:E5"/>
    <mergeCell ref="F3:F5"/>
    <mergeCell ref="C43:C45"/>
    <mergeCell ref="K46:K47"/>
    <mergeCell ref="L46:L47"/>
    <mergeCell ref="E43:E45"/>
    <mergeCell ref="G3:G5"/>
    <mergeCell ref="H3:H5"/>
    <mergeCell ref="D31:D33"/>
    <mergeCell ref="E31:E33"/>
    <mergeCell ref="F31:F33"/>
    <mergeCell ref="G31:G33"/>
    <mergeCell ref="H31:H33"/>
    <mergeCell ref="C8:C11"/>
    <mergeCell ref="E8:E11"/>
    <mergeCell ref="F8:F11"/>
    <mergeCell ref="G8:G11"/>
    <mergeCell ref="H8:H11"/>
    <mergeCell ref="L8:L11"/>
    <mergeCell ref="K3:K5"/>
    <mergeCell ref="L3:L5"/>
    <mergeCell ref="I3:I5"/>
    <mergeCell ref="J3:J5"/>
    <mergeCell ref="K8:K11"/>
    <mergeCell ref="C12:C13"/>
    <mergeCell ref="G21:G22"/>
    <mergeCell ref="H21:H22"/>
    <mergeCell ref="K31:K33"/>
    <mergeCell ref="L31:L33"/>
    <mergeCell ref="N21:N22"/>
    <mergeCell ref="C26:C27"/>
    <mergeCell ref="D26:D30"/>
    <mergeCell ref="E21:E22"/>
    <mergeCell ref="F21:F22"/>
    <mergeCell ref="E26:E30"/>
    <mergeCell ref="F26:F30"/>
    <mergeCell ref="G26:G30"/>
    <mergeCell ref="K21:K22"/>
    <mergeCell ref="L21:L22"/>
    <mergeCell ref="I21:I22"/>
    <mergeCell ref="J21:J22"/>
    <mergeCell ref="N26:N30"/>
    <mergeCell ref="C28:C29"/>
    <mergeCell ref="H26:H30"/>
    <mergeCell ref="I26:I30"/>
    <mergeCell ref="K26:K30"/>
    <mergeCell ref="J26:J30"/>
    <mergeCell ref="C162:C163"/>
    <mergeCell ref="C132:C134"/>
    <mergeCell ref="C192:C193"/>
    <mergeCell ref="D192:D193"/>
    <mergeCell ref="N192:N193"/>
    <mergeCell ref="C169:C171"/>
    <mergeCell ref="K38:K40"/>
    <mergeCell ref="L38:L40"/>
    <mergeCell ref="F38:F40"/>
    <mergeCell ref="C73:C74"/>
    <mergeCell ref="C76:C97"/>
    <mergeCell ref="C101:C102"/>
    <mergeCell ref="C107:C108"/>
    <mergeCell ref="C117:C118"/>
    <mergeCell ref="C121:C122"/>
    <mergeCell ref="C139:C141"/>
    <mergeCell ref="C147:C148"/>
    <mergeCell ref="C38:C40"/>
    <mergeCell ref="E38:E40"/>
    <mergeCell ref="C46:C47"/>
    <mergeCell ref="E46:E47"/>
    <mergeCell ref="F46:F47"/>
    <mergeCell ref="N38:N40"/>
    <mergeCell ref="O43:O45"/>
    <mergeCell ref="P43:P45"/>
    <mergeCell ref="O21:O22"/>
    <mergeCell ref="P21:P22"/>
    <mergeCell ref="O53:O54"/>
    <mergeCell ref="P53:P54"/>
    <mergeCell ref="O31:O33"/>
    <mergeCell ref="P31:P33"/>
    <mergeCell ref="C151:C152"/>
    <mergeCell ref="N31:N33"/>
    <mergeCell ref="G38:G40"/>
    <mergeCell ref="M43:M45"/>
    <mergeCell ref="M46:M47"/>
    <mergeCell ref="H38:H40"/>
    <mergeCell ref="I38:I40"/>
    <mergeCell ref="J38:J40"/>
    <mergeCell ref="I31:I33"/>
    <mergeCell ref="J31:J33"/>
    <mergeCell ref="N49:N51"/>
    <mergeCell ref="C53:C54"/>
    <mergeCell ref="E53:E54"/>
    <mergeCell ref="F53:F54"/>
    <mergeCell ref="G53:G54"/>
    <mergeCell ref="H53:H54"/>
    <mergeCell ref="O194:O195"/>
    <mergeCell ref="P194:P195"/>
    <mergeCell ref="O3:O5"/>
    <mergeCell ref="P3:P5"/>
    <mergeCell ref="O8:O11"/>
    <mergeCell ref="P8:P11"/>
    <mergeCell ref="O169:O171"/>
    <mergeCell ref="P169:P171"/>
    <mergeCell ref="O181:O182"/>
    <mergeCell ref="P181:P182"/>
    <mergeCell ref="O192:O193"/>
    <mergeCell ref="P192:P193"/>
    <mergeCell ref="O55:O56"/>
    <mergeCell ref="P55:P56"/>
    <mergeCell ref="O49:O51"/>
    <mergeCell ref="P49:P51"/>
    <mergeCell ref="O46:O47"/>
    <mergeCell ref="P46:P47"/>
    <mergeCell ref="O38:O40"/>
    <mergeCell ref="P38:P40"/>
    <mergeCell ref="O57:O59"/>
    <mergeCell ref="P57:P59"/>
    <mergeCell ref="O26:O30"/>
    <mergeCell ref="P26:P30"/>
  </mergeCells>
  <printOptions/>
  <pageMargins left="0.25" right="0.25" top="0.75" bottom="0.75" header="0.3" footer="0.3"/>
  <pageSetup fitToHeight="2" orientation="landscape" scale="52" r:id="rId1"/>
  <rowBreaks count="1" manualBreakCount="1">
    <brk id="68" max="16" man="1"/>
  </rowBreaks>
  <colBreaks count="1" manualBreakCount="1"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view="pageBreakPreview" zoomScale="85" zoomScaleSheetLayoutView="85" zoomScalePageLayoutView="0" workbookViewId="0" topLeftCell="A49">
      <selection activeCell="A1" sqref="A1:IV65536"/>
    </sheetView>
  </sheetViews>
  <sheetFormatPr defaultColWidth="8.8515625" defaultRowHeight="15"/>
  <cols>
    <col min="1" max="1" width="18.421875" style="1" customWidth="1"/>
    <col min="2" max="13" width="8.7109375" style="1" customWidth="1"/>
    <col min="14" max="16384" width="8.8515625" style="1" customWidth="1"/>
  </cols>
  <sheetData>
    <row r="1" spans="1:14" ht="12.75" customHeight="1">
      <c r="A1" s="85"/>
      <c r="B1" s="1868" t="s">
        <v>1052</v>
      </c>
      <c r="C1" s="1868"/>
      <c r="D1" s="1868"/>
      <c r="E1" s="1868"/>
      <c r="F1" s="1868"/>
      <c r="G1" s="1868"/>
      <c r="H1" s="1868"/>
      <c r="I1" s="1868"/>
      <c r="J1" s="1868"/>
      <c r="K1" s="1868"/>
      <c r="L1" s="1868"/>
      <c r="M1" s="1869"/>
      <c r="N1" s="83"/>
    </row>
    <row r="2" spans="1:14" ht="14.25" thickBot="1">
      <c r="A2" s="94"/>
      <c r="B2" s="95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  <c r="H2" s="9" t="s">
        <v>18</v>
      </c>
      <c r="I2" s="9" t="s">
        <v>19</v>
      </c>
      <c r="J2" s="9" t="s">
        <v>20</v>
      </c>
      <c r="K2" s="9" t="s">
        <v>21</v>
      </c>
      <c r="L2" s="9" t="s">
        <v>22</v>
      </c>
      <c r="M2" s="258" t="s">
        <v>23</v>
      </c>
      <c r="N2" s="82"/>
    </row>
    <row r="3" spans="1:13" ht="13.5">
      <c r="A3" s="96">
        <v>1991</v>
      </c>
      <c r="B3" s="86">
        <v>254.43</v>
      </c>
      <c r="C3" s="86">
        <v>260.76</v>
      </c>
      <c r="D3" s="86">
        <v>268.56</v>
      </c>
      <c r="E3" s="86">
        <v>279.85</v>
      </c>
      <c r="F3" s="86">
        <v>293.36</v>
      </c>
      <c r="G3" s="86">
        <v>296.14</v>
      </c>
      <c r="H3" s="86">
        <v>294.03</v>
      </c>
      <c r="I3" s="86">
        <v>291.46</v>
      </c>
      <c r="J3" s="86">
        <v>289.44</v>
      </c>
      <c r="K3" s="86">
        <v>288.32</v>
      </c>
      <c r="L3" s="86">
        <v>288.82</v>
      </c>
      <c r="M3" s="86">
        <v>285.05</v>
      </c>
    </row>
    <row r="4" spans="1:13" ht="13.5">
      <c r="A4" s="97">
        <v>1992</v>
      </c>
      <c r="B4" s="86">
        <v>277.95</v>
      </c>
      <c r="C4" s="86">
        <v>274.12</v>
      </c>
      <c r="D4" s="86">
        <v>267.96</v>
      </c>
      <c r="E4" s="86">
        <v>278.84</v>
      </c>
      <c r="F4" s="86">
        <v>280.98</v>
      </c>
      <c r="G4" s="86">
        <v>279.55</v>
      </c>
      <c r="H4" s="86">
        <v>275.23</v>
      </c>
      <c r="I4" s="86">
        <v>268.71</v>
      </c>
      <c r="J4" s="86">
        <v>263.86</v>
      </c>
      <c r="K4" s="86">
        <v>271.38</v>
      </c>
      <c r="L4" s="86">
        <v>281.93</v>
      </c>
      <c r="M4" s="86">
        <v>280.6</v>
      </c>
    </row>
    <row r="5" spans="1:13" ht="13.5">
      <c r="A5" s="97">
        <v>1993</v>
      </c>
      <c r="B5" s="86">
        <v>275.19</v>
      </c>
      <c r="C5" s="86">
        <v>265.32</v>
      </c>
      <c r="D5" s="86">
        <v>264.69</v>
      </c>
      <c r="E5" s="86">
        <v>278.53</v>
      </c>
      <c r="F5" s="86">
        <v>280.47</v>
      </c>
      <c r="G5" s="86">
        <v>277.3</v>
      </c>
      <c r="H5" s="86">
        <v>271.04</v>
      </c>
      <c r="I5" s="87">
        <v>261.05</v>
      </c>
      <c r="J5" s="87">
        <v>253.56</v>
      </c>
      <c r="K5" s="86">
        <v>249.94</v>
      </c>
      <c r="L5" s="86">
        <v>255.55</v>
      </c>
      <c r="M5" s="86">
        <v>270.2</v>
      </c>
    </row>
    <row r="6" spans="1:13" ht="13.5">
      <c r="A6" s="98">
        <v>1994</v>
      </c>
      <c r="B6" s="86">
        <v>254.43</v>
      </c>
      <c r="C6" s="86">
        <v>260.76</v>
      </c>
      <c r="D6" s="86">
        <v>268.56</v>
      </c>
      <c r="E6" s="86">
        <v>279.85</v>
      </c>
      <c r="F6" s="86">
        <v>293.36</v>
      </c>
      <c r="G6" s="86">
        <v>296.14</v>
      </c>
      <c r="H6" s="86">
        <v>294.03</v>
      </c>
      <c r="I6" s="88">
        <v>291.46</v>
      </c>
      <c r="J6" s="88">
        <v>289.44</v>
      </c>
      <c r="K6" s="88">
        <v>288.32</v>
      </c>
      <c r="L6" s="86">
        <v>288.82</v>
      </c>
      <c r="M6" s="86">
        <v>285.05</v>
      </c>
    </row>
    <row r="7" spans="1:13" ht="13.5">
      <c r="A7" s="97">
        <v>1995</v>
      </c>
      <c r="B7" s="86">
        <v>253.83</v>
      </c>
      <c r="C7" s="86">
        <v>260.25</v>
      </c>
      <c r="D7" s="86">
        <v>262.5</v>
      </c>
      <c r="E7" s="86">
        <v>275.29</v>
      </c>
      <c r="F7" s="86">
        <v>288.98</v>
      </c>
      <c r="G7" s="86">
        <v>288.71</v>
      </c>
      <c r="H7" s="86">
        <v>284.54</v>
      </c>
      <c r="I7" s="86">
        <v>282.15</v>
      </c>
      <c r="J7" s="86">
        <v>288.2</v>
      </c>
      <c r="K7" s="86">
        <v>283.84</v>
      </c>
      <c r="L7" s="86">
        <v>279.89</v>
      </c>
      <c r="M7" s="86">
        <v>287.49</v>
      </c>
    </row>
    <row r="8" spans="1:13" ht="13.5">
      <c r="A8" s="97">
        <v>1996</v>
      </c>
      <c r="B8" s="86">
        <v>287.1</v>
      </c>
      <c r="C8" s="86">
        <v>288.67</v>
      </c>
      <c r="D8" s="86">
        <v>286.5</v>
      </c>
      <c r="E8" s="86">
        <v>294.65</v>
      </c>
      <c r="F8" s="86">
        <v>295.76</v>
      </c>
      <c r="G8" s="86">
        <v>293.1</v>
      </c>
      <c r="H8" s="86">
        <v>287.6</v>
      </c>
      <c r="I8" s="86">
        <v>282.17</v>
      </c>
      <c r="J8" s="86">
        <v>285.08</v>
      </c>
      <c r="K8" s="86">
        <v>284.26</v>
      </c>
      <c r="L8" s="88">
        <v>289.18</v>
      </c>
      <c r="M8" s="89">
        <v>291.25</v>
      </c>
    </row>
    <row r="9" spans="1:13" ht="13.5">
      <c r="A9" s="98">
        <v>1997</v>
      </c>
      <c r="B9" s="86">
        <v>289.35</v>
      </c>
      <c r="C9" s="86">
        <v>284.51</v>
      </c>
      <c r="D9" s="86">
        <v>281.73</v>
      </c>
      <c r="E9" s="86">
        <v>285.22</v>
      </c>
      <c r="F9" s="86">
        <v>294.11</v>
      </c>
      <c r="G9" s="86">
        <v>291.96</v>
      </c>
      <c r="H9" s="86">
        <v>286.99</v>
      </c>
      <c r="I9" s="86">
        <v>280.02</v>
      </c>
      <c r="J9" s="86">
        <v>272.87</v>
      </c>
      <c r="K9" s="86">
        <v>272.41</v>
      </c>
      <c r="L9" s="86">
        <v>270.77</v>
      </c>
      <c r="M9" s="86">
        <v>277.16</v>
      </c>
    </row>
    <row r="10" spans="1:13" ht="13.5">
      <c r="A10" s="97">
        <v>1998</v>
      </c>
      <c r="B10" s="86">
        <v>273.68</v>
      </c>
      <c r="C10" s="86">
        <v>270</v>
      </c>
      <c r="D10" s="86">
        <v>265.2</v>
      </c>
      <c r="E10" s="86">
        <v>278.9</v>
      </c>
      <c r="F10" s="86">
        <v>288.11</v>
      </c>
      <c r="G10" s="86">
        <v>287.4</v>
      </c>
      <c r="H10" s="86">
        <v>281.83</v>
      </c>
      <c r="I10" s="86">
        <v>277.58</v>
      </c>
      <c r="J10" s="86">
        <v>276.04</v>
      </c>
      <c r="K10" s="86">
        <v>277.1</v>
      </c>
      <c r="L10" s="86">
        <v>279.04</v>
      </c>
      <c r="M10" s="86">
        <v>277.05</v>
      </c>
    </row>
    <row r="11" spans="1:13" ht="13.5">
      <c r="A11" s="97">
        <v>1999</v>
      </c>
      <c r="B11" s="86">
        <v>272.68</v>
      </c>
      <c r="C11" s="86">
        <v>275.64</v>
      </c>
      <c r="D11" s="86">
        <v>281.54</v>
      </c>
      <c r="E11" s="86">
        <v>290.47</v>
      </c>
      <c r="F11" s="86">
        <v>295.87</v>
      </c>
      <c r="G11" s="86">
        <v>293.33</v>
      </c>
      <c r="H11" s="86">
        <v>288.34</v>
      </c>
      <c r="I11" s="86">
        <v>279.5</v>
      </c>
      <c r="J11" s="86">
        <v>271.02</v>
      </c>
      <c r="K11" s="86">
        <v>257.6</v>
      </c>
      <c r="L11" s="86">
        <v>263.58</v>
      </c>
      <c r="M11" s="86">
        <v>276.9</v>
      </c>
    </row>
    <row r="12" spans="1:13" ht="13.5">
      <c r="A12" s="98">
        <v>2000</v>
      </c>
      <c r="B12" s="86">
        <v>276.35</v>
      </c>
      <c r="C12" s="86">
        <v>276.73</v>
      </c>
      <c r="D12" s="86">
        <v>276.81</v>
      </c>
      <c r="E12" s="86">
        <v>286.89</v>
      </c>
      <c r="F12" s="86">
        <v>286.6</v>
      </c>
      <c r="G12" s="86">
        <v>280.05</v>
      </c>
      <c r="H12" s="86">
        <v>273.52</v>
      </c>
      <c r="I12" s="86">
        <v>267.5</v>
      </c>
      <c r="J12" s="86">
        <v>261.62</v>
      </c>
      <c r="K12" s="87">
        <v>248.4</v>
      </c>
      <c r="L12" s="87">
        <v>249.25</v>
      </c>
      <c r="M12" s="87">
        <v>252.12</v>
      </c>
    </row>
    <row r="13" spans="1:13" ht="13.5">
      <c r="A13" s="97">
        <v>2001</v>
      </c>
      <c r="B13" s="86">
        <v>253.6</v>
      </c>
      <c r="C13" s="89">
        <v>258.17</v>
      </c>
      <c r="D13" s="86">
        <v>275.13</v>
      </c>
      <c r="E13" s="86">
        <v>282.85</v>
      </c>
      <c r="F13" s="86">
        <v>287.6</v>
      </c>
      <c r="G13" s="86">
        <v>283.83</v>
      </c>
      <c r="H13" s="86">
        <v>273.73</v>
      </c>
      <c r="I13" s="86">
        <v>271.07</v>
      </c>
      <c r="J13" s="86">
        <v>269.17</v>
      </c>
      <c r="K13" s="86">
        <v>263.62</v>
      </c>
      <c r="L13" s="86">
        <v>263.24</v>
      </c>
      <c r="M13" s="86">
        <v>252.1</v>
      </c>
    </row>
    <row r="14" spans="1:13" ht="13.5">
      <c r="A14" s="97">
        <v>2002</v>
      </c>
      <c r="B14" s="87">
        <v>245.3</v>
      </c>
      <c r="C14" s="87">
        <v>247.1</v>
      </c>
      <c r="D14" s="87">
        <v>252.6</v>
      </c>
      <c r="E14" s="87">
        <v>264.03</v>
      </c>
      <c r="F14" s="87">
        <v>268.6</v>
      </c>
      <c r="G14" s="87">
        <v>271.26</v>
      </c>
      <c r="H14" s="87">
        <v>270.08</v>
      </c>
      <c r="I14" s="86">
        <v>267.8</v>
      </c>
      <c r="J14" s="86">
        <v>274.28</v>
      </c>
      <c r="K14" s="86">
        <v>286.05</v>
      </c>
      <c r="L14" s="86">
        <v>285.34</v>
      </c>
      <c r="M14" s="86">
        <v>284</v>
      </c>
    </row>
    <row r="15" spans="1:13" ht="13.5">
      <c r="A15" s="98">
        <v>2003</v>
      </c>
      <c r="B15" s="89">
        <v>291.1</v>
      </c>
      <c r="C15" s="86">
        <v>289.5</v>
      </c>
      <c r="D15" s="86">
        <v>286.25</v>
      </c>
      <c r="E15" s="86">
        <v>287</v>
      </c>
      <c r="F15" s="86">
        <v>292.27</v>
      </c>
      <c r="G15" s="86">
        <v>290.26</v>
      </c>
      <c r="H15" s="86">
        <v>285.9</v>
      </c>
      <c r="I15" s="86">
        <v>280.77</v>
      </c>
      <c r="J15" s="86">
        <v>275.95</v>
      </c>
      <c r="K15" s="86">
        <v>282.63</v>
      </c>
      <c r="L15" s="86">
        <v>285.6</v>
      </c>
      <c r="M15" s="86">
        <v>283.28</v>
      </c>
    </row>
    <row r="16" spans="1:13" ht="13.5">
      <c r="A16" s="97">
        <v>2004</v>
      </c>
      <c r="B16" s="86">
        <v>284.7</v>
      </c>
      <c r="C16" s="89">
        <v>290.8</v>
      </c>
      <c r="D16" s="86">
        <v>293.4</v>
      </c>
      <c r="E16" s="86">
        <v>296.03</v>
      </c>
      <c r="F16" s="86">
        <v>296.2</v>
      </c>
      <c r="G16" s="88">
        <v>296.16</v>
      </c>
      <c r="H16" s="86">
        <v>293.08</v>
      </c>
      <c r="I16" s="86">
        <v>286.25</v>
      </c>
      <c r="J16" s="86">
        <v>281.08</v>
      </c>
      <c r="K16" s="86">
        <v>280.01</v>
      </c>
      <c r="L16" s="86">
        <v>286.11</v>
      </c>
      <c r="M16" s="89">
        <v>288.04</v>
      </c>
    </row>
    <row r="17" spans="1:13" ht="13.5">
      <c r="A17" s="97">
        <v>2005</v>
      </c>
      <c r="B17" s="86">
        <v>281.17</v>
      </c>
      <c r="C17" s="86">
        <v>281.53</v>
      </c>
      <c r="D17" s="86">
        <v>293.3</v>
      </c>
      <c r="E17" s="86">
        <v>296.09</v>
      </c>
      <c r="F17" s="86">
        <v>295.59</v>
      </c>
      <c r="G17" s="86">
        <v>294.05</v>
      </c>
      <c r="H17" s="86">
        <v>286.72</v>
      </c>
      <c r="I17" s="86">
        <v>277.16</v>
      </c>
      <c r="J17" s="86">
        <v>266.46</v>
      </c>
      <c r="K17" s="86">
        <v>256.9</v>
      </c>
      <c r="L17" s="86">
        <v>253.6</v>
      </c>
      <c r="M17" s="86">
        <v>279</v>
      </c>
    </row>
    <row r="18" spans="1:13" ht="13.5">
      <c r="A18" s="98">
        <v>2006</v>
      </c>
      <c r="B18" s="86">
        <v>283.52</v>
      </c>
      <c r="C18" s="86">
        <v>288.6</v>
      </c>
      <c r="D18" s="89">
        <v>294.42</v>
      </c>
      <c r="E18" s="86">
        <v>295.87</v>
      </c>
      <c r="F18" s="86">
        <v>296.48</v>
      </c>
      <c r="G18" s="86">
        <v>295.85</v>
      </c>
      <c r="H18" s="86">
        <v>293.78</v>
      </c>
      <c r="I18" s="86">
        <v>290.2</v>
      </c>
      <c r="J18" s="86">
        <v>285.3</v>
      </c>
      <c r="K18" s="86">
        <v>278.73</v>
      </c>
      <c r="L18" s="86">
        <v>266.2</v>
      </c>
      <c r="M18" s="86">
        <v>256.18</v>
      </c>
    </row>
    <row r="19" spans="1:13" ht="13.5">
      <c r="A19" s="97">
        <v>2007</v>
      </c>
      <c r="B19" s="86">
        <v>256.1</v>
      </c>
      <c r="C19" s="86">
        <v>263.73</v>
      </c>
      <c r="D19" s="86">
        <v>272</v>
      </c>
      <c r="E19" s="86">
        <v>276.8</v>
      </c>
      <c r="F19" s="86">
        <v>276.8</v>
      </c>
      <c r="G19" s="86">
        <v>274.81</v>
      </c>
      <c r="H19" s="86">
        <v>268.5</v>
      </c>
      <c r="I19" s="86">
        <v>263.63</v>
      </c>
      <c r="J19" s="86">
        <v>261.8</v>
      </c>
      <c r="K19" s="86">
        <v>261.06</v>
      </c>
      <c r="L19" s="86">
        <v>275.8</v>
      </c>
      <c r="M19" s="86">
        <v>282.12</v>
      </c>
    </row>
    <row r="20" spans="1:13" ht="13.5">
      <c r="A20" s="97">
        <v>2008</v>
      </c>
      <c r="B20" s="86">
        <v>285.10354838709674</v>
      </c>
      <c r="C20" s="86">
        <v>289.7228571428572</v>
      </c>
      <c r="D20" s="86">
        <v>290.9338709677418</v>
      </c>
      <c r="E20" s="86">
        <v>295.4736666666667</v>
      </c>
      <c r="F20" s="86">
        <v>295.321935483871</v>
      </c>
      <c r="G20" s="86">
        <v>295.68000000000006</v>
      </c>
      <c r="H20" s="88">
        <v>294.25032258064516</v>
      </c>
      <c r="I20" s="86">
        <v>288.6161290322581</v>
      </c>
      <c r="J20" s="86">
        <v>283.934</v>
      </c>
      <c r="K20" s="86">
        <v>280.89548387096767</v>
      </c>
      <c r="L20" s="86">
        <v>285.20699999999994</v>
      </c>
      <c r="M20" s="86">
        <v>286.4732258064517</v>
      </c>
    </row>
    <row r="21" spans="1:13" ht="13.5">
      <c r="A21" s="98">
        <v>2009</v>
      </c>
      <c r="B21" s="90">
        <v>283.5712903225806</v>
      </c>
      <c r="C21" s="90">
        <v>281.8351724137931</v>
      </c>
      <c r="D21" s="90">
        <v>283.39548387096767</v>
      </c>
      <c r="E21" s="90">
        <v>292.4683333333333</v>
      </c>
      <c r="F21" s="90">
        <v>293.68612903225807</v>
      </c>
      <c r="G21" s="90">
        <v>292.44899999999996</v>
      </c>
      <c r="H21" s="90">
        <v>287.993870967742</v>
      </c>
      <c r="I21" s="90">
        <v>281.15612903225815</v>
      </c>
      <c r="J21" s="90">
        <v>276.1626666666668</v>
      </c>
      <c r="K21" s="90">
        <v>271.62645161290317</v>
      </c>
      <c r="L21" s="90">
        <v>266.311</v>
      </c>
      <c r="M21" s="90">
        <v>280.0890322580645</v>
      </c>
    </row>
    <row r="22" spans="1:13" ht="13.5">
      <c r="A22" s="97">
        <v>2010</v>
      </c>
      <c r="B22" s="91">
        <v>290.0580645161289</v>
      </c>
      <c r="C22" s="91">
        <v>289.19250000000005</v>
      </c>
      <c r="D22" s="91">
        <v>293.88483870967747</v>
      </c>
      <c r="E22" s="91">
        <v>295.97099999999995</v>
      </c>
      <c r="F22" s="91">
        <v>296.34451612903223</v>
      </c>
      <c r="G22" s="91">
        <v>294.4289999999999</v>
      </c>
      <c r="H22" s="91">
        <v>291.75096774193554</v>
      </c>
      <c r="I22" s="91">
        <v>288.58677419354837</v>
      </c>
      <c r="J22" s="91">
        <v>284.90000000000003</v>
      </c>
      <c r="K22" s="91">
        <v>285.21290322580654</v>
      </c>
      <c r="L22" s="91">
        <v>284.2656666666666</v>
      </c>
      <c r="M22" s="91">
        <v>287.4767741935484</v>
      </c>
    </row>
    <row r="23" spans="1:13" ht="13.5">
      <c r="A23" s="97">
        <v>2011</v>
      </c>
      <c r="B23" s="90">
        <v>281.63322580645166</v>
      </c>
      <c r="C23" s="90">
        <v>274.42903225806447</v>
      </c>
      <c r="D23" s="90">
        <v>274.9925806451613</v>
      </c>
      <c r="E23" s="90">
        <v>276.63129032258064</v>
      </c>
      <c r="F23" s="90">
        <v>280.9609677419355</v>
      </c>
      <c r="G23" s="90">
        <v>286.0767741935484</v>
      </c>
      <c r="H23" s="90">
        <v>284.7009677419355</v>
      </c>
      <c r="I23" s="90">
        <v>278.9612903225806</v>
      </c>
      <c r="J23" s="90">
        <v>273.94733333333335</v>
      </c>
      <c r="K23" s="90">
        <v>268.1674193548387</v>
      </c>
      <c r="L23" s="90">
        <v>261.61600000000004</v>
      </c>
      <c r="M23" s="90">
        <v>264.5048387096774</v>
      </c>
    </row>
    <row r="24" spans="1:13" ht="13.5">
      <c r="A24" s="98">
        <v>2012</v>
      </c>
      <c r="B24" s="90">
        <v>265.78</v>
      </c>
      <c r="C24" s="90">
        <v>267.68</v>
      </c>
      <c r="D24" s="90">
        <v>262.01</v>
      </c>
      <c r="E24" s="90">
        <v>280.2</v>
      </c>
      <c r="F24" s="90">
        <v>293.4</v>
      </c>
      <c r="G24" s="90">
        <v>294.4</v>
      </c>
      <c r="H24" s="90">
        <v>288.4</v>
      </c>
      <c r="I24" s="90">
        <v>280.4</v>
      </c>
      <c r="J24" s="90">
        <v>261.39</v>
      </c>
      <c r="K24" s="90">
        <v>261.57</v>
      </c>
      <c r="L24" s="90">
        <v>269.03</v>
      </c>
      <c r="M24" s="90">
        <v>276.64</v>
      </c>
    </row>
    <row r="25" spans="1:13" ht="13.5">
      <c r="A25" s="97">
        <v>2013</v>
      </c>
      <c r="B25" s="90">
        <v>278.27</v>
      </c>
      <c r="C25" s="90">
        <v>281.52</v>
      </c>
      <c r="D25" s="90">
        <v>294.83</v>
      </c>
      <c r="E25" s="92">
        <v>296.9</v>
      </c>
      <c r="F25" s="92">
        <v>296.9</v>
      </c>
      <c r="G25" s="90">
        <v>294.18</v>
      </c>
      <c r="H25" s="90">
        <v>289.7</v>
      </c>
      <c r="I25" s="90">
        <v>283.6</v>
      </c>
      <c r="J25" s="90">
        <v>280.8</v>
      </c>
      <c r="K25" s="90">
        <v>281.4</v>
      </c>
      <c r="L25" s="90">
        <v>282.5</v>
      </c>
      <c r="M25" s="90">
        <v>276.1</v>
      </c>
    </row>
    <row r="26" spans="1:13" ht="13.5">
      <c r="A26" s="97">
        <v>2014</v>
      </c>
      <c r="B26" s="90">
        <v>275.1</v>
      </c>
      <c r="C26" s="90">
        <v>277.5</v>
      </c>
      <c r="D26" s="90">
        <v>274.6</v>
      </c>
      <c r="E26" s="93">
        <v>285.3</v>
      </c>
      <c r="F26" s="93">
        <v>292.9</v>
      </c>
      <c r="G26" s="90">
        <v>294.9</v>
      </c>
      <c r="H26" s="90">
        <v>291.7</v>
      </c>
      <c r="I26" s="90">
        <v>286.8</v>
      </c>
      <c r="J26" s="90">
        <v>285.5</v>
      </c>
      <c r="K26" s="90">
        <v>285</v>
      </c>
      <c r="L26" s="90">
        <v>284.8</v>
      </c>
      <c r="M26" s="90">
        <v>286.3</v>
      </c>
    </row>
    <row r="27" spans="1:13" ht="13.5">
      <c r="A27" s="97">
        <v>2015</v>
      </c>
      <c r="B27" s="90">
        <v>288.7</v>
      </c>
      <c r="C27" s="90">
        <v>289.4</v>
      </c>
      <c r="D27" s="90">
        <v>292.2</v>
      </c>
      <c r="E27" s="93">
        <v>296.3</v>
      </c>
      <c r="F27" s="93">
        <v>296.1</v>
      </c>
      <c r="G27" s="90">
        <v>293.3</v>
      </c>
      <c r="H27" s="90">
        <v>287.5</v>
      </c>
      <c r="I27" s="90">
        <v>280.1</v>
      </c>
      <c r="J27" s="90">
        <v>272.1</v>
      </c>
      <c r="K27" s="90">
        <v>275.4</v>
      </c>
      <c r="L27" s="90">
        <v>278.9</v>
      </c>
      <c r="M27" s="90">
        <v>275.9</v>
      </c>
    </row>
    <row r="28" spans="1:13" ht="13.5">
      <c r="A28" s="97">
        <v>2016</v>
      </c>
      <c r="B28" s="90">
        <v>289.9</v>
      </c>
      <c r="C28" s="93">
        <v>292.4</v>
      </c>
      <c r="D28" s="90">
        <v>291.8</v>
      </c>
      <c r="E28" s="93">
        <v>296.5</v>
      </c>
      <c r="F28" s="93">
        <v>296.2</v>
      </c>
      <c r="G28" s="90">
        <v>295.6</v>
      </c>
      <c r="H28" s="90">
        <v>290.5</v>
      </c>
      <c r="I28" s="90">
        <v>285.4</v>
      </c>
      <c r="J28" s="90">
        <v>283.3</v>
      </c>
      <c r="K28" s="90">
        <v>288.4</v>
      </c>
      <c r="L28" s="90">
        <v>288.9</v>
      </c>
      <c r="M28" s="90">
        <v>281.6</v>
      </c>
    </row>
    <row r="29" spans="1:13" ht="13.5">
      <c r="A29" s="130">
        <v>2017</v>
      </c>
      <c r="B29" s="93">
        <v>271.5</v>
      </c>
      <c r="C29" s="93">
        <v>277.7</v>
      </c>
      <c r="D29" s="93">
        <v>280.9</v>
      </c>
      <c r="E29" s="93">
        <v>278.7</v>
      </c>
      <c r="F29" s="93">
        <v>281.6</v>
      </c>
      <c r="G29" s="93">
        <v>272.4</v>
      </c>
      <c r="H29" s="93">
        <v>270.2</v>
      </c>
      <c r="I29" s="93">
        <v>268</v>
      </c>
      <c r="J29" s="93">
        <v>270.97</v>
      </c>
      <c r="K29" s="93">
        <v>264.6</v>
      </c>
      <c r="L29" s="93">
        <v>269.63</v>
      </c>
      <c r="M29" s="93">
        <v>289.86</v>
      </c>
    </row>
    <row r="30" spans="1:13" ht="13.5">
      <c r="A30" s="259">
        <v>2018</v>
      </c>
      <c r="B30" s="93">
        <v>289.7</v>
      </c>
      <c r="C30" s="93">
        <v>292</v>
      </c>
      <c r="D30" s="92">
        <v>295</v>
      </c>
      <c r="E30" s="93">
        <v>296.5</v>
      </c>
      <c r="F30" s="93">
        <v>296.4</v>
      </c>
      <c r="G30" s="93">
        <v>296</v>
      </c>
      <c r="H30" s="93">
        <v>294</v>
      </c>
      <c r="I30" s="93">
        <v>287.5</v>
      </c>
      <c r="J30" s="93">
        <v>277.9</v>
      </c>
      <c r="K30" s="93">
        <v>270.2</v>
      </c>
      <c r="L30" s="93">
        <v>266.5</v>
      </c>
      <c r="M30" s="93">
        <v>267.3</v>
      </c>
    </row>
    <row r="31" spans="1:13" ht="13.5">
      <c r="A31" s="35">
        <v>2019</v>
      </c>
      <c r="B31" s="93">
        <v>267.3</v>
      </c>
      <c r="C31" s="93">
        <v>268.2</v>
      </c>
      <c r="D31" s="93">
        <v>272.7</v>
      </c>
      <c r="E31" s="93">
        <v>279.9</v>
      </c>
      <c r="F31" s="93">
        <v>289.9</v>
      </c>
      <c r="G31" s="93">
        <v>292.73</v>
      </c>
      <c r="H31" s="93">
        <v>287.6</v>
      </c>
      <c r="I31" s="93">
        <v>278.46</v>
      </c>
      <c r="J31" s="93">
        <v>274.2</v>
      </c>
      <c r="K31" s="93">
        <v>268.59</v>
      </c>
      <c r="L31" s="93">
        <v>273.17</v>
      </c>
      <c r="M31" s="260">
        <v>275.59</v>
      </c>
    </row>
    <row r="32" spans="1:13" ht="13.5">
      <c r="A32" s="35">
        <v>2020</v>
      </c>
      <c r="B32" s="346">
        <v>271.62</v>
      </c>
      <c r="C32" s="346">
        <v>271.98</v>
      </c>
      <c r="D32" s="346">
        <v>283.5</v>
      </c>
      <c r="E32" s="346">
        <v>288.55</v>
      </c>
      <c r="F32" s="93">
        <v>293.59</v>
      </c>
      <c r="G32" s="93">
        <v>291.66</v>
      </c>
      <c r="H32" s="93">
        <v>284.6</v>
      </c>
      <c r="I32" s="93">
        <v>276.5</v>
      </c>
      <c r="J32" s="93">
        <v>273.5</v>
      </c>
      <c r="K32" s="93">
        <v>274.1</v>
      </c>
      <c r="L32" s="93">
        <v>268.7</v>
      </c>
      <c r="M32" s="347">
        <v>272.7</v>
      </c>
    </row>
    <row r="33" spans="1:13" ht="13.5">
      <c r="A33" s="35">
        <v>2021</v>
      </c>
      <c r="B33" s="458">
        <v>291.7</v>
      </c>
      <c r="C33" s="458">
        <v>294.1</v>
      </c>
      <c r="D33" s="346">
        <v>292.6</v>
      </c>
      <c r="E33" s="346">
        <v>294.3</v>
      </c>
      <c r="F33" s="93">
        <v>296.7</v>
      </c>
      <c r="G33" s="93">
        <v>291.7</v>
      </c>
      <c r="H33" s="93">
        <v>282.65</v>
      </c>
      <c r="I33" s="93">
        <v>274.27</v>
      </c>
      <c r="J33" s="93">
        <v>271.34</v>
      </c>
      <c r="K33" s="93">
        <v>267.7</v>
      </c>
      <c r="L33" s="93">
        <v>267.8</v>
      </c>
      <c r="M33" s="260">
        <v>275.1</v>
      </c>
    </row>
    <row r="34" spans="1:13" ht="13.5">
      <c r="A34" s="35">
        <v>2022</v>
      </c>
      <c r="B34" s="346">
        <v>270.68</v>
      </c>
      <c r="C34" s="346">
        <v>268.28</v>
      </c>
      <c r="D34" s="346">
        <v>260.67</v>
      </c>
      <c r="E34" s="346">
        <v>282.51</v>
      </c>
      <c r="F34" s="93">
        <v>288.98</v>
      </c>
      <c r="G34" s="93">
        <v>287.97</v>
      </c>
      <c r="H34" s="93">
        <v>281.47</v>
      </c>
      <c r="I34" s="93">
        <v>270.35</v>
      </c>
      <c r="J34" s="93">
        <v>271.44</v>
      </c>
      <c r="K34" s="93">
        <v>267.91</v>
      </c>
      <c r="L34" s="93">
        <v>281.71</v>
      </c>
      <c r="M34" s="1161">
        <v>291.66</v>
      </c>
    </row>
    <row r="35" spans="1:13" ht="14.25" thickBo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</row>
    <row r="36" spans="1:13" ht="9.75" customHeight="1">
      <c r="A36" s="156"/>
      <c r="B36" s="157" t="s">
        <v>12</v>
      </c>
      <c r="C36" s="157" t="s">
        <v>13</v>
      </c>
      <c r="D36" s="157" t="s">
        <v>14</v>
      </c>
      <c r="E36" s="157" t="s">
        <v>15</v>
      </c>
      <c r="F36" s="157" t="s">
        <v>16</v>
      </c>
      <c r="G36" s="157" t="s">
        <v>17</v>
      </c>
      <c r="H36" s="157" t="s">
        <v>18</v>
      </c>
      <c r="I36" s="157" t="s">
        <v>19</v>
      </c>
      <c r="J36" s="157" t="s">
        <v>20</v>
      </c>
      <c r="K36" s="157" t="s">
        <v>21</v>
      </c>
      <c r="L36" s="157" t="s">
        <v>22</v>
      </c>
      <c r="M36" s="158" t="s">
        <v>23</v>
      </c>
    </row>
    <row r="37" spans="1:13" ht="10.5" customHeight="1">
      <c r="A37" s="147">
        <v>2022</v>
      </c>
      <c r="B37" s="346">
        <v>270.68</v>
      </c>
      <c r="C37" s="346">
        <v>268.28</v>
      </c>
      <c r="D37" s="346">
        <v>260.67</v>
      </c>
      <c r="E37" s="346">
        <v>282.51</v>
      </c>
      <c r="F37" s="93">
        <v>288.98</v>
      </c>
      <c r="G37" s="93">
        <v>287.97</v>
      </c>
      <c r="H37" s="93">
        <v>281.5</v>
      </c>
      <c r="I37" s="93">
        <v>270.35</v>
      </c>
      <c r="J37" s="93">
        <v>271.44</v>
      </c>
      <c r="K37" s="93">
        <v>267.91</v>
      </c>
      <c r="L37" s="93">
        <v>281.71</v>
      </c>
      <c r="M37" s="260">
        <v>291.66</v>
      </c>
    </row>
    <row r="38" spans="1:13" ht="9.75" customHeight="1">
      <c r="A38" s="148" t="s">
        <v>65</v>
      </c>
      <c r="B38" s="643">
        <v>275.49729448491155</v>
      </c>
      <c r="C38" s="643">
        <v>276.89837296176495</v>
      </c>
      <c r="D38" s="643">
        <v>279.8224765868887</v>
      </c>
      <c r="E38" s="643">
        <v>286.4791706555671</v>
      </c>
      <c r="F38" s="643">
        <v>290.6820499479709</v>
      </c>
      <c r="G38" s="643">
        <v>289.52918626430807</v>
      </c>
      <c r="H38" s="643">
        <v>284.98342351716957</v>
      </c>
      <c r="I38" s="643">
        <v>279.25259105098854</v>
      </c>
      <c r="J38" s="643">
        <v>275.3262580645162</v>
      </c>
      <c r="K38" s="643">
        <v>273.3365244536941</v>
      </c>
      <c r="L38" s="643">
        <v>274.51773118279567</v>
      </c>
      <c r="M38" s="643">
        <v>277.5233506763788</v>
      </c>
    </row>
    <row r="39" spans="1:13" ht="9" customHeight="1">
      <c r="A39" s="148" t="s">
        <v>66</v>
      </c>
      <c r="B39" s="149">
        <v>245.3</v>
      </c>
      <c r="C39" s="149">
        <v>247.1</v>
      </c>
      <c r="D39" s="149">
        <v>252.6</v>
      </c>
      <c r="E39" s="149">
        <v>264</v>
      </c>
      <c r="F39" s="149">
        <v>268.6</v>
      </c>
      <c r="G39" s="149">
        <v>271.3</v>
      </c>
      <c r="H39" s="149">
        <v>270.1</v>
      </c>
      <c r="I39" s="149">
        <v>261.1</v>
      </c>
      <c r="J39" s="149">
        <v>253.6</v>
      </c>
      <c r="K39" s="149">
        <v>248.4</v>
      </c>
      <c r="L39" s="149">
        <v>249.3</v>
      </c>
      <c r="M39" s="150">
        <v>252.1</v>
      </c>
    </row>
    <row r="40" spans="1:13" ht="10.5" customHeight="1" thickBot="1">
      <c r="A40" s="151" t="s">
        <v>67</v>
      </c>
      <c r="B40" s="152">
        <v>291.7</v>
      </c>
      <c r="C40" s="152">
        <v>294.1</v>
      </c>
      <c r="D40" s="152">
        <v>294.4</v>
      </c>
      <c r="E40" s="152">
        <v>296.9</v>
      </c>
      <c r="F40" s="152">
        <v>296.9</v>
      </c>
      <c r="G40" s="152">
        <v>296.2</v>
      </c>
      <c r="H40" s="152">
        <v>294.3</v>
      </c>
      <c r="I40" s="152">
        <v>291.5</v>
      </c>
      <c r="J40" s="152">
        <v>289.4</v>
      </c>
      <c r="K40" s="152">
        <v>288.3</v>
      </c>
      <c r="L40" s="152">
        <v>289.2</v>
      </c>
      <c r="M40" s="153">
        <v>288</v>
      </c>
    </row>
    <row r="42" spans="2:13" ht="13.5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4" spans="2:13" ht="13.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</row>
    <row r="82" spans="9:12" ht="13.5">
      <c r="I82" s="1870" t="s">
        <v>430</v>
      </c>
      <c r="J82" s="1870"/>
      <c r="K82" s="1870"/>
      <c r="L82" s="1870"/>
    </row>
  </sheetData>
  <sheetProtection/>
  <mergeCells count="2">
    <mergeCell ref="B1:M1"/>
    <mergeCell ref="I82:L82"/>
  </mergeCells>
  <printOptions/>
  <pageMargins left="0.7" right="0.7" top="0.75" bottom="0.75" header="0.3" footer="0.3"/>
  <pageSetup fitToHeight="2" fitToWidth="1" orientation="portrait" paperSize="9" scale="71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2023-04-06T09:02:37Z</dcterms:modified>
  <cp:category/>
  <cp:version/>
  <cp:contentType/>
  <cp:contentStatus/>
</cp:coreProperties>
</file>