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05" windowHeight="9885" tabRatio="875" activeTab="2"/>
  </bookViews>
  <sheets>
    <sheet name="Bursat e naftes (Tabela)" sheetId="1" r:id="rId1"/>
    <sheet name="Kostua e 1 kwh" sheetId="2" r:id="rId2"/>
    <sheet name="Krahasimi nafte-gaz " sheetId="3" r:id="rId3"/>
    <sheet name="Taksa e CO2" sheetId="4" r:id="rId4"/>
  </sheets>
  <definedNames/>
  <calcPr fullCalcOnLoad="1"/>
</workbook>
</file>

<file path=xl/sharedStrings.xml><?xml version="1.0" encoding="utf-8"?>
<sst xmlns="http://schemas.openxmlformats.org/spreadsheetml/2006/main" count="279" uniqueCount="149">
  <si>
    <t>Janar 2008</t>
  </si>
  <si>
    <t>Mars 2008</t>
  </si>
  <si>
    <t>Prill 2008</t>
  </si>
  <si>
    <t>Korrik 2008</t>
  </si>
  <si>
    <t>Gusht 2008</t>
  </si>
  <si>
    <t>Shtator 2008</t>
  </si>
  <si>
    <t>Tetor 2008</t>
  </si>
  <si>
    <t>Nentor 2008</t>
  </si>
  <si>
    <t>Dhjetor 2008</t>
  </si>
  <si>
    <t>Shkurt 2008</t>
  </si>
  <si>
    <t>Shkurt 2009</t>
  </si>
  <si>
    <t>Mars 2009</t>
  </si>
  <si>
    <t>Prill 2009</t>
  </si>
  <si>
    <t>Cmimi i shitjes ne:</t>
  </si>
  <si>
    <t>Fuqia kalorifike e ulet e lendes djegese</t>
  </si>
  <si>
    <t>kg / kWh</t>
  </si>
  <si>
    <t>$ / kWh</t>
  </si>
  <si>
    <t>Konsumi specifik i nxehtesise per 1 kWh te prodhuar</t>
  </si>
  <si>
    <t>Konsumi specifik i lendes djegese per 1 kWh te prodhuar</t>
  </si>
  <si>
    <t>Raporti kostos se lendes djegese ndaj kostos totale per 1 kWh prodhuar</t>
  </si>
  <si>
    <t>%</t>
  </si>
  <si>
    <t>Maj 2009</t>
  </si>
  <si>
    <t>kJ / kWh</t>
  </si>
  <si>
    <t>kJ / kg</t>
  </si>
  <si>
    <t>Qershor 2009</t>
  </si>
  <si>
    <t>Muaji</t>
  </si>
  <si>
    <t>Korrik 2009</t>
  </si>
  <si>
    <t>Gusht 2009</t>
  </si>
  <si>
    <t>Shtator 2009</t>
  </si>
  <si>
    <t>Tetor 2009</t>
  </si>
  <si>
    <t>Nentor 2009</t>
  </si>
  <si>
    <t>Dhjetor 2009</t>
  </si>
  <si>
    <t>kJ / m3</t>
  </si>
  <si>
    <t>kW</t>
  </si>
  <si>
    <t>m3 / kWh</t>
  </si>
  <si>
    <t>Cmimi i gazit rus</t>
  </si>
  <si>
    <t>ton / vit</t>
  </si>
  <si>
    <t>Shkurt 2010</t>
  </si>
  <si>
    <t>Mars 2010</t>
  </si>
  <si>
    <t>Viti</t>
  </si>
  <si>
    <t>Koha e shitjes</t>
  </si>
  <si>
    <t xml:space="preserve">Maj 2008 </t>
  </si>
  <si>
    <t>Qershor  2008</t>
  </si>
  <si>
    <t>Janar  2009</t>
  </si>
  <si>
    <t>Janar  2010</t>
  </si>
  <si>
    <t>Cent $ / kg</t>
  </si>
  <si>
    <t xml:space="preserve"> $ / kg</t>
  </si>
  <si>
    <t>Fuqia elektrike e instaluar</t>
  </si>
  <si>
    <t>Ore / vit</t>
  </si>
  <si>
    <t>kWh</t>
  </si>
  <si>
    <t>Faktori i disponushmerise i pranuar mesatarisht</t>
  </si>
  <si>
    <t>Degradimi i kapacitetit</t>
  </si>
  <si>
    <t>Degradimi i rendimentit</t>
  </si>
  <si>
    <t xml:space="preserve">Kostua e lendes djegese per 1 kWh te prodhuar </t>
  </si>
  <si>
    <t>Konsumi vjetor i lendes djegese</t>
  </si>
  <si>
    <t>Nr</t>
  </si>
  <si>
    <t>Prodhimi vjetor i energjise elektrike</t>
  </si>
  <si>
    <t xml:space="preserve">Oret vjetore te punes se TECit me ngarkese te plote </t>
  </si>
  <si>
    <t xml:space="preserve">Rendimenti i prodhimit te energjise electrike pa degradim </t>
  </si>
  <si>
    <t>Rendimenti i prodhimit te energjise electrike real (me degradim)</t>
  </si>
  <si>
    <t>Rendimenti i prodhimit te energjise electrike pa degradim</t>
  </si>
  <si>
    <t>Rendimenti i prodhimit te energjise electrike real ( me degradim )</t>
  </si>
  <si>
    <t xml:space="preserve"> $ / mij m3</t>
  </si>
  <si>
    <t>Fuqia kalorifike e ulet e lendes djegese ne forme te lengezuar</t>
  </si>
  <si>
    <t>Densiteti I gazit natyror te lengezuar</t>
  </si>
  <si>
    <t>kg / m3</t>
  </si>
  <si>
    <t>Raporti vellimit ne gjendje te gazt me ate te lengezuar</t>
  </si>
  <si>
    <t>Konsumi vjetor i lendes djegese ne gjendje te gazte</t>
  </si>
  <si>
    <t>m3 / vit</t>
  </si>
  <si>
    <t>Konsumi vjetor i lendes djegese ne gjendje te lengezuar</t>
  </si>
  <si>
    <t>Cmimi i prodhimit 1 kWh energjise elektrike me gaz natyror</t>
  </si>
  <si>
    <t>$ / kg GNL</t>
  </si>
  <si>
    <t>Fuqia kalorifike e ulet e lendes djegese ne forme te gazte</t>
  </si>
  <si>
    <t>Cmimi  GNL</t>
  </si>
  <si>
    <t>Cmimi  i prodhimit 1 kWh energjise elektrike  me GNL</t>
  </si>
  <si>
    <t xml:space="preserve">Kostua  e lendes djegese per 1 kWh te prodhuar </t>
  </si>
  <si>
    <t>Shtator 2010</t>
  </si>
  <si>
    <t>Maj 2010</t>
  </si>
  <si>
    <t>Qershor 2010</t>
  </si>
  <si>
    <t>Korrik 2010</t>
  </si>
  <si>
    <t>Gusht 2010</t>
  </si>
  <si>
    <t>Prill 2010</t>
  </si>
  <si>
    <t>Cmimi mesatar</t>
  </si>
  <si>
    <t>C $ / kg</t>
  </si>
  <si>
    <t>C $ / gall</t>
  </si>
  <si>
    <t>Cmimi mesatar 2008 - 2010</t>
  </si>
  <si>
    <t>Cent $ / gallon</t>
  </si>
  <si>
    <t>CMIMI I NAFTES BRUTE SIPAS BURSES NE BRENT</t>
  </si>
  <si>
    <t xml:space="preserve"> $ / barrel</t>
  </si>
  <si>
    <t>Janar  2008</t>
  </si>
  <si>
    <t>Maj 2008</t>
  </si>
  <si>
    <t>Qershor 2008</t>
  </si>
  <si>
    <t>Parashikimi per 1 vit</t>
  </si>
  <si>
    <t>Kostua e transportit te lendes djegese deri ne TEC Vlore</t>
  </si>
  <si>
    <t xml:space="preserve">Cmimi mesatar i lendes djegese CIF Vlore pa aksiza dhe pa TVSH </t>
  </si>
  <si>
    <t>Cmimi i prodhimit 1 kWh energjise elektrike me nafte diezel</t>
  </si>
  <si>
    <t>Konsumi vjetor i lendes djegese - nafte diezel</t>
  </si>
  <si>
    <t>$ / kwh</t>
  </si>
  <si>
    <t>Kostua e prodhimit te 1 kwh energji elektrike</t>
  </si>
  <si>
    <t>Me nafte diezel D2</t>
  </si>
  <si>
    <t>Me gaz natyror te lengezuar - GNL</t>
  </si>
  <si>
    <t>Me gaz natyror</t>
  </si>
  <si>
    <t>Faktori i disponushmerise (mesatare e pranuar)</t>
  </si>
  <si>
    <t>Njesia e matjes</t>
  </si>
  <si>
    <t>97 MW</t>
  </si>
  <si>
    <t>291 MW</t>
  </si>
  <si>
    <t>Fuqia e instaluar e TEC it</t>
  </si>
  <si>
    <t>Treguesi i pranuar apo i llogaritur</t>
  </si>
  <si>
    <r>
      <t xml:space="preserve">                                           </t>
    </r>
    <r>
      <rPr>
        <b/>
        <u val="single"/>
        <sz val="10"/>
        <rFont val="Arial"/>
        <family val="2"/>
      </rPr>
      <t>KOSTUA E PRODHIMIT TE 1 KWH ENERGJI ELEKTRIKE TEC VLORE</t>
    </r>
  </si>
  <si>
    <t>A) PRODHIMI I ENERGJISE ELEKTRIKE ME NAFTE DIEZEL</t>
  </si>
  <si>
    <t>B) PRODHIMI I ENERGJISE ELEKTRIKE ME GAZ NATYROR</t>
  </si>
  <si>
    <t>C) PRODHIMI I ENERGJISE ELEKTRIKE ME GNL</t>
  </si>
  <si>
    <t>PARAQITJA TABELORE DHE GRAFIKE E KRAHASIMIT TE CMIMIT TE PRODHIMIT TE                    ENERGJISE ELEKTRIKE NE TERMOCENTRALIN E  VLORES</t>
  </si>
  <si>
    <t>Volumi i gazrave CO2 te hedhur ne atmosfer</t>
  </si>
  <si>
    <t>Sasia e  gazrave CO2 te hedhur ne atmosfer</t>
  </si>
  <si>
    <t>Sasia vjetore e  gazrave CO2 te hedhur ne atmosfer per kapacitetin aktual</t>
  </si>
  <si>
    <t>Sasia vjetore e  gazrave CO2 te hedhur ne atmosfer per kapacitetin e trefishuar</t>
  </si>
  <si>
    <t>Taksa aktuale europiane per shkarkime te CO2</t>
  </si>
  <si>
    <t>Kostua  e shkarkimit te CO2 ne atmosfer sipas normave europiane, per kapacitetin aktual</t>
  </si>
  <si>
    <t>Kostua  e shkarkimit te CO2 ne atmosfer sipas normave europiane, per kapacitetin e trefishuar</t>
  </si>
  <si>
    <t>euro / kgCO2</t>
  </si>
  <si>
    <t>euro / vit</t>
  </si>
  <si>
    <t>Treguesi i marre apo i llogaritur</t>
  </si>
  <si>
    <t>Njesi e matjes</t>
  </si>
  <si>
    <t>Permbajtja e karbonit ne masen e punes ne %</t>
  </si>
  <si>
    <t>Permbajtja e squfurit ne masen e punes ne %</t>
  </si>
  <si>
    <t>Permbajtja e metanit CH4 ne % volum</t>
  </si>
  <si>
    <t>Permbajtja e hidrokarburit  C2H6 ne % volum</t>
  </si>
  <si>
    <t>Permbajtja e hidrokarburit  C3H8  ne % volum</t>
  </si>
  <si>
    <t>Permbajtja e hidrokarburit  C4H10 ne % volum</t>
  </si>
  <si>
    <t>Permbajtja e hidrokarburit  C5H12 ne % volum</t>
  </si>
  <si>
    <t>Permbajtja  e hidrokarburit C6H14 ne % volum</t>
  </si>
  <si>
    <t>Permbajtja e gazit karbonik CO2 ne % volum</t>
  </si>
  <si>
    <t xml:space="preserve">    LLOGARITJE LIDHUR ME KOSTON E SHKARKIMIT TE GAZRAVE CO2 NE ATMOSFER NGA TERMOCENTRALI I VLORES</t>
  </si>
  <si>
    <t xml:space="preserve">Te dhenat e nevojshme per naften diezel : </t>
  </si>
  <si>
    <t>Te dhenat e nevojshme per gazin natyror :</t>
  </si>
  <si>
    <t>kgCO2/kg l.dj.</t>
  </si>
  <si>
    <t>m3N / kg l.dj.</t>
  </si>
  <si>
    <t>Vlera e llogaritur</t>
  </si>
  <si>
    <t>A) NAFTA DIEZEL D2</t>
  </si>
  <si>
    <t>B) GAZ NATYRAL</t>
  </si>
  <si>
    <t>ton CO2 / vit</t>
  </si>
  <si>
    <t>m3N /m3N GN</t>
  </si>
  <si>
    <t>kgCO2 / m3N GN</t>
  </si>
  <si>
    <t>Zvogelimi i hedhjes se gazeve CO2  nga zevendesimi i naftes diezel me gaz natyral :</t>
  </si>
  <si>
    <t xml:space="preserve"> - per kapacitetin aktual te termocentralit</t>
  </si>
  <si>
    <t xml:space="preserve"> - per kapacitetin e trefishuar  te termocentralit</t>
  </si>
  <si>
    <t>Ulja e shpenzimeve vjetore lidhur me taksen e hedhjes se gazeve CO2 ne atmosfer:</t>
  </si>
  <si>
    <r>
      <t xml:space="preserve">               </t>
    </r>
    <r>
      <rPr>
        <b/>
        <u val="single"/>
        <sz val="10"/>
        <rFont val="Arial"/>
        <family val="2"/>
      </rPr>
      <t>CMIMI I NAFTES DIEZEL  SIPAS BURSES NE ROTERDAM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</si>
</sst>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"/>
    <numFmt numFmtId="167" formatCode="0.0000"/>
    <numFmt numFmtId="168" formatCode="[$-409]dddd\,\ mmmm\ dd\,\ yyyy"/>
    <numFmt numFmtId="169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u val="single"/>
      <sz val="11"/>
      <name val="Arial Narrow"/>
      <family val="2"/>
    </font>
    <font>
      <u val="single"/>
      <sz val="10"/>
      <name val="Arial"/>
      <family val="2"/>
    </font>
    <font>
      <sz val="1.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1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26" xfId="0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/>
    </xf>
    <xf numFmtId="164" fontId="3" fillId="0" borderId="2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0" xfId="0" applyFont="1" applyBorder="1" applyAlignment="1">
      <alignment/>
    </xf>
    <xf numFmtId="164" fontId="3" fillId="0" borderId="4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Border="1" applyAlignment="1">
      <alignment/>
    </xf>
    <xf numFmtId="164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7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4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4" fillId="0" borderId="46" xfId="0" applyNumberFormat="1" applyFont="1" applyBorder="1" applyAlignment="1">
      <alignment horizontal="center" vertical="center" textRotation="90"/>
    </xf>
    <xf numFmtId="164" fontId="4" fillId="0" borderId="47" xfId="0" applyNumberFormat="1" applyFont="1" applyBorder="1" applyAlignment="1">
      <alignment horizontal="center" vertical="center" textRotation="90"/>
    </xf>
    <xf numFmtId="164" fontId="4" fillId="0" borderId="40" xfId="0" applyNumberFormat="1" applyFont="1" applyBorder="1" applyAlignment="1">
      <alignment horizontal="center" vertical="center" textRotation="90"/>
    </xf>
    <xf numFmtId="164" fontId="4" fillId="0" borderId="48" xfId="0" applyNumberFormat="1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164" fontId="4" fillId="0" borderId="49" xfId="0" applyNumberFormat="1" applyFont="1" applyBorder="1" applyAlignment="1">
      <alignment horizontal="center" vertical="center" textRotation="90"/>
    </xf>
    <xf numFmtId="164" fontId="4" fillId="0" borderId="50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textRotation="90"/>
    </xf>
    <xf numFmtId="0" fontId="6" fillId="0" borderId="47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textRotation="90"/>
    </xf>
    <xf numFmtId="0" fontId="6" fillId="0" borderId="56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'Bursat e naftes (Tabela)'!#REF!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'Bursat e naftes (Tabela)'!#REF!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592518"/>
        <c:axId val="34679479"/>
      </c:scatterChart>
      <c:valAx>
        <c:axId val="4859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479"/>
        <c:crosses val="autoZero"/>
        <c:crossBetween val="midCat"/>
        <c:dispUnits/>
      </c:valAx>
      <c:valAx>
        <c:axId val="34679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2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6"/>
          <c:w val="0.9472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'Krahasimi nafte-gaz '!$C$7:$C$9</c:f>
              <c:strCache/>
            </c:strRef>
          </c:cat>
          <c:val>
            <c:numRef>
              <c:f>'Krahasimi nafte-gaz '!$D$7:$D$9</c:f>
              <c:numCache/>
            </c:numRef>
          </c:val>
        </c:ser>
        <c:axId val="43679856"/>
        <c:axId val="57574385"/>
      </c:bar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74385"/>
        <c:crosses val="autoZero"/>
        <c:auto val="1"/>
        <c:lblOffset val="100"/>
        <c:tickLblSkip val="1"/>
        <c:noMultiLvlLbl val="0"/>
      </c:catAx>
      <c:valAx>
        <c:axId val="57574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7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10506075" y="161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0.555</cdr:y>
    </cdr:from>
    <cdr:to>
      <cdr:x>0.881</cdr:x>
      <cdr:y>0.63225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24400" y="2000250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60 %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28575</xdr:rowOff>
    </xdr:from>
    <xdr:to>
      <xdr:col>7</xdr:col>
      <xdr:colOff>542925</xdr:colOff>
      <xdr:row>37</xdr:row>
      <xdr:rowOff>76200</xdr:rowOff>
    </xdr:to>
    <xdr:graphicFrame>
      <xdr:nvGraphicFramePr>
        <xdr:cNvPr id="1" name="Chart 3"/>
        <xdr:cNvGraphicFramePr/>
      </xdr:nvGraphicFramePr>
      <xdr:xfrm>
        <a:off x="152400" y="2628900"/>
        <a:ext cx="59340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495300</xdr:colOff>
      <xdr:row>21</xdr:row>
      <xdr:rowOff>142875</xdr:rowOff>
    </xdr:from>
    <xdr:ext cx="523875" cy="285750"/>
    <xdr:sp>
      <xdr:nvSpPr>
        <xdr:cNvPr id="2" name="TextBox 4"/>
        <xdr:cNvSpPr txBox="1">
          <a:spLocks noChangeArrowheads="1"/>
        </xdr:cNvSpPr>
      </xdr:nvSpPr>
      <xdr:spPr>
        <a:xfrm>
          <a:off x="1438275" y="3714750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100 %</a:t>
          </a:r>
        </a:p>
      </xdr:txBody>
    </xdr:sp>
    <xdr:clientData/>
  </xdr:oneCellAnchor>
  <xdr:oneCellAnchor>
    <xdr:from>
      <xdr:col>2</xdr:col>
      <xdr:colOff>2219325</xdr:colOff>
      <xdr:row>26</xdr:row>
      <xdr:rowOff>133350</xdr:rowOff>
    </xdr:from>
    <xdr:ext cx="457200" cy="285750"/>
    <xdr:sp>
      <xdr:nvSpPr>
        <xdr:cNvPr id="3" name="TextBox 5"/>
        <xdr:cNvSpPr txBox="1">
          <a:spLocks noChangeArrowheads="1"/>
        </xdr:cNvSpPr>
      </xdr:nvSpPr>
      <xdr:spPr>
        <a:xfrm>
          <a:off x="3162300" y="4514850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64 %</a:t>
          </a:r>
        </a:p>
      </xdr:txBody>
    </xdr:sp>
    <xdr:clientData/>
  </xdr:oneCellAnchor>
  <xdr:oneCellAnchor>
    <xdr:from>
      <xdr:col>0</xdr:col>
      <xdr:colOff>95250</xdr:colOff>
      <xdr:row>11</xdr:row>
      <xdr:rowOff>76200</xdr:rowOff>
    </xdr:from>
    <xdr:ext cx="190500" cy="257175"/>
    <xdr:sp>
      <xdr:nvSpPr>
        <xdr:cNvPr id="4" name="TextBox 6"/>
        <xdr:cNvSpPr txBox="1">
          <a:spLocks noChangeArrowheads="1"/>
        </xdr:cNvSpPr>
      </xdr:nvSpPr>
      <xdr:spPr>
        <a:xfrm>
          <a:off x="95250" y="202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selection activeCell="E6" sqref="E6"/>
    </sheetView>
  </sheetViews>
  <sheetFormatPr defaultColWidth="9.140625" defaultRowHeight="12.75"/>
  <cols>
    <col min="1" max="1" width="6.8515625" style="0" customWidth="1"/>
    <col min="2" max="2" width="10.140625" style="0" customWidth="1"/>
    <col min="3" max="3" width="14.28125" style="0" customWidth="1"/>
    <col min="4" max="4" width="15.421875" style="0" customWidth="1"/>
    <col min="5" max="5" width="15.7109375" style="0" customWidth="1"/>
    <col min="6" max="6" width="8.57421875" style="0" customWidth="1"/>
    <col min="7" max="7" width="8.140625" style="0" customWidth="1"/>
    <col min="8" max="8" width="8.00390625" style="0" customWidth="1"/>
    <col min="9" max="9" width="7.00390625" style="0" customWidth="1"/>
    <col min="10" max="10" width="8.57421875" style="0" customWidth="1"/>
    <col min="11" max="13" width="15.421875" style="0" customWidth="1"/>
    <col min="14" max="15" width="8.57421875" style="0" customWidth="1"/>
    <col min="16" max="16" width="7.140625" style="0" customWidth="1"/>
  </cols>
  <sheetData>
    <row r="1" spans="1:11" ht="12.75">
      <c r="A1" s="126"/>
      <c r="B1" s="127" t="s">
        <v>148</v>
      </c>
      <c r="C1" s="128"/>
      <c r="D1" s="66"/>
      <c r="K1" s="4" t="s">
        <v>87</v>
      </c>
    </row>
    <row r="2" ht="12.75">
      <c r="D2" s="4"/>
    </row>
    <row r="3" spans="4:10" ht="13.5" thickBot="1">
      <c r="D3" s="4"/>
      <c r="J3" s="1"/>
    </row>
    <row r="4" spans="2:15" ht="16.5" customHeight="1" thickBot="1">
      <c r="B4" s="142" t="s">
        <v>40</v>
      </c>
      <c r="C4" s="143"/>
      <c r="D4" s="153" t="s">
        <v>13</v>
      </c>
      <c r="E4" s="154"/>
      <c r="F4" s="151" t="s">
        <v>82</v>
      </c>
      <c r="G4" s="152"/>
      <c r="J4" s="142" t="s">
        <v>40</v>
      </c>
      <c r="K4" s="143"/>
      <c r="L4" s="158" t="s">
        <v>13</v>
      </c>
      <c r="M4" s="159"/>
      <c r="N4" s="151" t="s">
        <v>82</v>
      </c>
      <c r="O4" s="152"/>
    </row>
    <row r="5" spans="2:15" ht="16.5" customHeight="1" thickBot="1">
      <c r="B5" s="15" t="s">
        <v>39</v>
      </c>
      <c r="C5" s="38" t="s">
        <v>25</v>
      </c>
      <c r="D5" s="16" t="s">
        <v>86</v>
      </c>
      <c r="E5" s="17" t="s">
        <v>46</v>
      </c>
      <c r="F5" s="16" t="s">
        <v>84</v>
      </c>
      <c r="G5" s="8" t="s">
        <v>83</v>
      </c>
      <c r="J5" s="15" t="s">
        <v>39</v>
      </c>
      <c r="K5" s="38" t="s">
        <v>25</v>
      </c>
      <c r="L5" s="16" t="s">
        <v>88</v>
      </c>
      <c r="M5" s="17" t="s">
        <v>46</v>
      </c>
      <c r="N5" s="16" t="s">
        <v>88</v>
      </c>
      <c r="O5" s="17" t="s">
        <v>46</v>
      </c>
    </row>
    <row r="6" spans="2:15" ht="16.5" customHeight="1">
      <c r="B6" s="148">
        <v>2008</v>
      </c>
      <c r="C6" s="18" t="s">
        <v>0</v>
      </c>
      <c r="D6" s="19">
        <v>255.15</v>
      </c>
      <c r="E6" s="20">
        <f>D6/((100*(3.7854*0.845)))</f>
        <v>0.7976770294338604</v>
      </c>
      <c r="F6" s="134">
        <f>AVERAGE(D6:D17)</f>
        <v>293.57416666666666</v>
      </c>
      <c r="G6" s="137">
        <f>AVERAGE(E6:E17)</f>
        <v>0.9178027402907613</v>
      </c>
      <c r="J6" s="155">
        <v>2008</v>
      </c>
      <c r="K6" s="18" t="s">
        <v>89</v>
      </c>
      <c r="L6" s="32">
        <v>92.18</v>
      </c>
      <c r="M6" s="20">
        <f>L6/(159*0.845)</f>
        <v>0.6860928138141492</v>
      </c>
      <c r="N6" s="134">
        <f>AVERAGE(L6:L17)</f>
        <v>96.84750000000001</v>
      </c>
      <c r="O6" s="134">
        <f>AVERAGE(M6:M17)</f>
        <v>0.7208328681478174</v>
      </c>
    </row>
    <row r="7" spans="2:15" ht="16.5" customHeight="1">
      <c r="B7" s="149"/>
      <c r="C7" s="21" t="s">
        <v>9</v>
      </c>
      <c r="D7" s="22">
        <v>271.8</v>
      </c>
      <c r="E7" s="23">
        <f aca="true" t="shared" si="0" ref="E7:E37">D7/((100*(3.7854*0.845)))</f>
        <v>0.8497300278272517</v>
      </c>
      <c r="F7" s="135"/>
      <c r="G7" s="138"/>
      <c r="J7" s="156"/>
      <c r="K7" s="21" t="s">
        <v>9</v>
      </c>
      <c r="L7" s="33">
        <v>94.99</v>
      </c>
      <c r="M7" s="25">
        <f>L7/(159*0.845)</f>
        <v>0.7070075546127796</v>
      </c>
      <c r="N7" s="135"/>
      <c r="O7" s="135"/>
    </row>
    <row r="8" spans="2:15" ht="16.5" customHeight="1">
      <c r="B8" s="149"/>
      <c r="C8" s="21" t="s">
        <v>1</v>
      </c>
      <c r="D8" s="22">
        <v>305.57</v>
      </c>
      <c r="E8" s="23">
        <f t="shared" si="0"/>
        <v>0.9553053885326463</v>
      </c>
      <c r="F8" s="135"/>
      <c r="G8" s="138"/>
      <c r="J8" s="156"/>
      <c r="K8" s="21" t="s">
        <v>1</v>
      </c>
      <c r="L8" s="33">
        <v>103.64</v>
      </c>
      <c r="M8" s="23">
        <f aca="true" t="shared" si="1" ref="M8:M17">L8/(159*0.845)</f>
        <v>0.771389230024934</v>
      </c>
      <c r="N8" s="135"/>
      <c r="O8" s="135"/>
    </row>
    <row r="9" spans="2:15" ht="16.5" customHeight="1">
      <c r="B9" s="149"/>
      <c r="C9" s="21" t="s">
        <v>2</v>
      </c>
      <c r="D9" s="22">
        <v>331.3</v>
      </c>
      <c r="E9" s="24">
        <f t="shared" si="0"/>
        <v>1.0357452473111424</v>
      </c>
      <c r="F9" s="135"/>
      <c r="G9" s="138"/>
      <c r="J9" s="156"/>
      <c r="K9" s="21" t="s">
        <v>2</v>
      </c>
      <c r="L9" s="33">
        <v>109.07</v>
      </c>
      <c r="M9" s="24">
        <f t="shared" si="1"/>
        <v>0.8118045476536042</v>
      </c>
      <c r="N9" s="135"/>
      <c r="O9" s="135"/>
    </row>
    <row r="10" spans="2:15" ht="16.5" customHeight="1">
      <c r="B10" s="149"/>
      <c r="C10" s="21" t="s">
        <v>41</v>
      </c>
      <c r="D10" s="22">
        <v>380.4</v>
      </c>
      <c r="E10" s="23">
        <f t="shared" si="0"/>
        <v>1.1892468822129747</v>
      </c>
      <c r="F10" s="135"/>
      <c r="G10" s="138"/>
      <c r="J10" s="156"/>
      <c r="K10" s="21" t="s">
        <v>90</v>
      </c>
      <c r="L10" s="33">
        <v>122.8</v>
      </c>
      <c r="M10" s="23">
        <f t="shared" si="1"/>
        <v>0.9139965018049199</v>
      </c>
      <c r="N10" s="135"/>
      <c r="O10" s="135"/>
    </row>
    <row r="11" spans="2:15" ht="16.5" customHeight="1">
      <c r="B11" s="149"/>
      <c r="C11" s="21" t="s">
        <v>42</v>
      </c>
      <c r="D11" s="22">
        <v>392.64</v>
      </c>
      <c r="E11" s="24">
        <f t="shared" si="0"/>
        <v>1.2275128702210893</v>
      </c>
      <c r="F11" s="135"/>
      <c r="G11" s="138"/>
      <c r="J11" s="156"/>
      <c r="K11" s="21" t="s">
        <v>91</v>
      </c>
      <c r="L11" s="33">
        <v>132.32</v>
      </c>
      <c r="M11" s="24">
        <f t="shared" si="1"/>
        <v>0.9848535595995683</v>
      </c>
      <c r="N11" s="135"/>
      <c r="O11" s="135"/>
    </row>
    <row r="12" spans="2:15" ht="16.5" customHeight="1">
      <c r="B12" s="149"/>
      <c r="C12" s="21" t="s">
        <v>3</v>
      </c>
      <c r="D12" s="22">
        <v>391.06</v>
      </c>
      <c r="E12" s="23">
        <f t="shared" si="0"/>
        <v>1.2225733064095843</v>
      </c>
      <c r="F12" s="135"/>
      <c r="G12" s="138"/>
      <c r="J12" s="156"/>
      <c r="K12" s="21" t="s">
        <v>3</v>
      </c>
      <c r="L12" s="33">
        <v>132.72</v>
      </c>
      <c r="M12" s="23">
        <f t="shared" si="1"/>
        <v>0.9878307469018646</v>
      </c>
      <c r="N12" s="135"/>
      <c r="O12" s="135"/>
    </row>
    <row r="13" spans="2:15" ht="16.5" customHeight="1">
      <c r="B13" s="149"/>
      <c r="C13" s="21" t="s">
        <v>4</v>
      </c>
      <c r="D13" s="22">
        <v>330.32</v>
      </c>
      <c r="E13" s="24">
        <f t="shared" si="0"/>
        <v>1.0326814672255253</v>
      </c>
      <c r="F13" s="135"/>
      <c r="G13" s="138"/>
      <c r="J13" s="156"/>
      <c r="K13" s="21" t="s">
        <v>4</v>
      </c>
      <c r="L13" s="33">
        <v>113.24</v>
      </c>
      <c r="M13" s="24">
        <f t="shared" si="1"/>
        <v>0.8428417252800418</v>
      </c>
      <c r="N13" s="135"/>
      <c r="O13" s="135"/>
    </row>
    <row r="14" spans="2:15" ht="16.5" customHeight="1">
      <c r="B14" s="149"/>
      <c r="C14" s="21" t="s">
        <v>5</v>
      </c>
      <c r="D14" s="22">
        <v>302.68</v>
      </c>
      <c r="E14" s="23">
        <f t="shared" si="0"/>
        <v>0.946270363586286</v>
      </c>
      <c r="F14" s="135"/>
      <c r="G14" s="138"/>
      <c r="J14" s="156"/>
      <c r="K14" s="21" t="s">
        <v>5</v>
      </c>
      <c r="L14" s="33">
        <v>97.23</v>
      </c>
      <c r="M14" s="23">
        <f t="shared" si="1"/>
        <v>0.7236798035056381</v>
      </c>
      <c r="N14" s="135"/>
      <c r="O14" s="135"/>
    </row>
    <row r="15" spans="2:15" ht="16.5" customHeight="1">
      <c r="B15" s="149"/>
      <c r="C15" s="21" t="s">
        <v>6</v>
      </c>
      <c r="D15" s="22">
        <v>233.09</v>
      </c>
      <c r="E15" s="24">
        <f t="shared" si="0"/>
        <v>0.7287107144453793</v>
      </c>
      <c r="F15" s="135"/>
      <c r="G15" s="138"/>
      <c r="J15" s="156"/>
      <c r="K15" s="21" t="s">
        <v>6</v>
      </c>
      <c r="L15" s="33">
        <v>71.58</v>
      </c>
      <c r="M15" s="24">
        <f t="shared" si="1"/>
        <v>0.5327676677458971</v>
      </c>
      <c r="N15" s="135"/>
      <c r="O15" s="135"/>
    </row>
    <row r="16" spans="2:15" ht="16.5" customHeight="1">
      <c r="B16" s="149"/>
      <c r="C16" s="21" t="s">
        <v>7</v>
      </c>
      <c r="D16" s="22">
        <v>186.84</v>
      </c>
      <c r="E16" s="23">
        <f t="shared" si="0"/>
        <v>0.5841190522415147</v>
      </c>
      <c r="F16" s="135"/>
      <c r="G16" s="138"/>
      <c r="J16" s="156"/>
      <c r="K16" s="21" t="s">
        <v>7</v>
      </c>
      <c r="L16" s="33">
        <v>52.45</v>
      </c>
      <c r="M16" s="23">
        <f t="shared" si="1"/>
        <v>0.39038368501358345</v>
      </c>
      <c r="N16" s="135"/>
      <c r="O16" s="135"/>
    </row>
    <row r="17" spans="2:15" ht="16.5" customHeight="1" thickBot="1">
      <c r="B17" s="150"/>
      <c r="C17" s="26" t="s">
        <v>8</v>
      </c>
      <c r="D17" s="27">
        <v>142.04</v>
      </c>
      <c r="E17" s="24">
        <f t="shared" si="0"/>
        <v>0.4440605340418794</v>
      </c>
      <c r="F17" s="136"/>
      <c r="G17" s="139"/>
      <c r="J17" s="157"/>
      <c r="K17" s="26" t="s">
        <v>8</v>
      </c>
      <c r="L17" s="34">
        <v>39.95</v>
      </c>
      <c r="M17" s="31">
        <f t="shared" si="1"/>
        <v>0.2973465818168286</v>
      </c>
      <c r="N17" s="136"/>
      <c r="O17" s="136"/>
    </row>
    <row r="18" spans="2:15" ht="16.5" customHeight="1">
      <c r="B18" s="148">
        <v>2009</v>
      </c>
      <c r="C18" s="18" t="s">
        <v>43</v>
      </c>
      <c r="D18" s="19">
        <v>145.72</v>
      </c>
      <c r="E18" s="20">
        <f t="shared" si="0"/>
        <v>0.4555653408939923</v>
      </c>
      <c r="F18" s="134">
        <f>AVERAGE(D18:D29)</f>
        <v>165.21166666666664</v>
      </c>
      <c r="G18" s="137">
        <f>AVERAGE(E18:E29)</f>
        <v>0.516502259433603</v>
      </c>
      <c r="J18" s="155">
        <v>2009</v>
      </c>
      <c r="K18" s="18" t="s">
        <v>43</v>
      </c>
      <c r="L18" s="32">
        <v>43.44</v>
      </c>
      <c r="M18" s="20">
        <f>L18/(159*0.845)</f>
        <v>0.32332254102936253</v>
      </c>
      <c r="N18" s="134">
        <f>AVERAGE(L18:L29)</f>
        <v>61.49</v>
      </c>
      <c r="O18" s="134">
        <f>AVERAGE(M18:M29)</f>
        <v>0.45766811804547664</v>
      </c>
    </row>
    <row r="19" spans="2:15" ht="16.5" customHeight="1">
      <c r="B19" s="149"/>
      <c r="C19" s="21" t="s">
        <v>10</v>
      </c>
      <c r="D19" s="22">
        <v>126.11</v>
      </c>
      <c r="E19" s="23">
        <f t="shared" si="0"/>
        <v>0.3942584761195537</v>
      </c>
      <c r="F19" s="135"/>
      <c r="G19" s="140"/>
      <c r="J19" s="156"/>
      <c r="K19" s="21" t="s">
        <v>10</v>
      </c>
      <c r="L19" s="33">
        <v>43.32</v>
      </c>
      <c r="M19" s="25">
        <f>L19/(159*0.845)</f>
        <v>0.32242938483867367</v>
      </c>
      <c r="N19" s="135"/>
      <c r="O19" s="135"/>
    </row>
    <row r="20" spans="2:15" ht="16.5" customHeight="1">
      <c r="B20" s="149"/>
      <c r="C20" s="21" t="s">
        <v>11</v>
      </c>
      <c r="D20" s="22">
        <v>128.12</v>
      </c>
      <c r="E20" s="24">
        <f t="shared" si="0"/>
        <v>0.4005423516012785</v>
      </c>
      <c r="F20" s="135"/>
      <c r="G20" s="140"/>
      <c r="J20" s="156"/>
      <c r="K20" s="21" t="s">
        <v>11</v>
      </c>
      <c r="L20" s="33">
        <v>46.54</v>
      </c>
      <c r="M20" s="23">
        <f aca="true" t="shared" si="2" ref="M20:M29">L20/(159*0.845)</f>
        <v>0.3463957426221577</v>
      </c>
      <c r="N20" s="135"/>
      <c r="O20" s="135"/>
    </row>
    <row r="21" spans="2:15" ht="16.5" customHeight="1">
      <c r="B21" s="149"/>
      <c r="C21" s="21" t="s">
        <v>12</v>
      </c>
      <c r="D21" s="22">
        <v>138.96</v>
      </c>
      <c r="E21" s="23">
        <f t="shared" si="0"/>
        <v>0.4344315109156545</v>
      </c>
      <c r="F21" s="135"/>
      <c r="G21" s="140"/>
      <c r="J21" s="156"/>
      <c r="K21" s="21" t="s">
        <v>12</v>
      </c>
      <c r="L21" s="33">
        <v>50.18</v>
      </c>
      <c r="M21" s="24">
        <f t="shared" si="2"/>
        <v>0.3734881470730528</v>
      </c>
      <c r="N21" s="135"/>
      <c r="O21" s="135"/>
    </row>
    <row r="22" spans="2:15" ht="16.5" customHeight="1">
      <c r="B22" s="149"/>
      <c r="C22" s="21" t="s">
        <v>21</v>
      </c>
      <c r="D22" s="22">
        <v>149.91</v>
      </c>
      <c r="E22" s="24">
        <f t="shared" si="0"/>
        <v>0.46866456391311</v>
      </c>
      <c r="F22" s="135"/>
      <c r="G22" s="140"/>
      <c r="I22" s="39"/>
      <c r="J22" s="156"/>
      <c r="K22" s="21" t="s">
        <v>21</v>
      </c>
      <c r="L22" s="33">
        <v>57.3</v>
      </c>
      <c r="M22" s="23">
        <f t="shared" si="2"/>
        <v>0.4264820810539243</v>
      </c>
      <c r="N22" s="135"/>
      <c r="O22" s="135"/>
    </row>
    <row r="23" spans="2:15" ht="16.5" customHeight="1">
      <c r="B23" s="149"/>
      <c r="C23" s="21" t="s">
        <v>24</v>
      </c>
      <c r="D23" s="22">
        <v>178.1</v>
      </c>
      <c r="E23" s="23">
        <f t="shared" si="0"/>
        <v>0.5567951359677465</v>
      </c>
      <c r="F23" s="135"/>
      <c r="G23" s="140"/>
      <c r="J23" s="156"/>
      <c r="K23" s="21" t="s">
        <v>24</v>
      </c>
      <c r="L23" s="33">
        <v>68.61</v>
      </c>
      <c r="M23" s="24">
        <f t="shared" si="2"/>
        <v>0.5106620520263482</v>
      </c>
      <c r="N23" s="135"/>
      <c r="O23" s="135"/>
    </row>
    <row r="24" spans="2:15" ht="16.5" customHeight="1">
      <c r="B24" s="149"/>
      <c r="C24" s="21" t="s">
        <v>26</v>
      </c>
      <c r="D24" s="22">
        <v>168.46</v>
      </c>
      <c r="E24" s="24">
        <f t="shared" si="0"/>
        <v>0.5266575441051465</v>
      </c>
      <c r="F24" s="135"/>
      <c r="G24" s="140"/>
      <c r="J24" s="156"/>
      <c r="K24" s="21" t="s">
        <v>26</v>
      </c>
      <c r="L24" s="33">
        <v>64.44</v>
      </c>
      <c r="M24" s="23">
        <f t="shared" si="2"/>
        <v>0.4796248743999107</v>
      </c>
      <c r="N24" s="135"/>
      <c r="O24" s="135"/>
    </row>
    <row r="25" spans="2:15" ht="16.5" customHeight="1">
      <c r="B25" s="149"/>
      <c r="C25" s="21" t="s">
        <v>27</v>
      </c>
      <c r="D25" s="22">
        <v>189.06</v>
      </c>
      <c r="E25" s="23">
        <f t="shared" si="0"/>
        <v>0.5910594520273003</v>
      </c>
      <c r="F25" s="135"/>
      <c r="G25" s="140"/>
      <c r="J25" s="156"/>
      <c r="K25" s="21" t="s">
        <v>27</v>
      </c>
      <c r="L25" s="33">
        <v>72.51</v>
      </c>
      <c r="M25" s="24">
        <f t="shared" si="2"/>
        <v>0.5396896282237357</v>
      </c>
      <c r="N25" s="135"/>
      <c r="O25" s="135"/>
    </row>
    <row r="26" spans="2:15" ht="16.5" customHeight="1">
      <c r="B26" s="149"/>
      <c r="C26" s="21" t="s">
        <v>76</v>
      </c>
      <c r="D26" s="22">
        <v>176</v>
      </c>
      <c r="E26" s="24">
        <f t="shared" si="0"/>
        <v>0.5502298929271386</v>
      </c>
      <c r="F26" s="135"/>
      <c r="G26" s="140"/>
      <c r="J26" s="156"/>
      <c r="K26" s="21" t="s">
        <v>28</v>
      </c>
      <c r="L26" s="33">
        <v>67.65</v>
      </c>
      <c r="M26" s="23">
        <f t="shared" si="2"/>
        <v>0.5035168025008374</v>
      </c>
      <c r="N26" s="135"/>
      <c r="O26" s="135"/>
    </row>
    <row r="27" spans="2:15" ht="16.5" customHeight="1">
      <c r="B27" s="149"/>
      <c r="C27" s="21" t="s">
        <v>29</v>
      </c>
      <c r="D27" s="11">
        <v>192</v>
      </c>
      <c r="E27" s="23">
        <f t="shared" si="0"/>
        <v>0.6002507922841512</v>
      </c>
      <c r="F27" s="135"/>
      <c r="G27" s="140"/>
      <c r="J27" s="156"/>
      <c r="K27" s="21" t="s">
        <v>29</v>
      </c>
      <c r="L27" s="33">
        <v>72.77</v>
      </c>
      <c r="M27" s="24">
        <f t="shared" si="2"/>
        <v>0.5416247999702282</v>
      </c>
      <c r="N27" s="135"/>
      <c r="O27" s="135"/>
    </row>
    <row r="28" spans="2:15" ht="16.5" customHeight="1">
      <c r="B28" s="149"/>
      <c r="C28" s="21" t="s">
        <v>30</v>
      </c>
      <c r="D28" s="11">
        <v>197</v>
      </c>
      <c r="E28" s="23">
        <f t="shared" si="0"/>
        <v>0.6158823233332177</v>
      </c>
      <c r="F28" s="135"/>
      <c r="G28" s="140"/>
      <c r="H28" s="40"/>
      <c r="J28" s="156"/>
      <c r="K28" s="21" t="s">
        <v>30</v>
      </c>
      <c r="L28" s="33">
        <v>76.66</v>
      </c>
      <c r="M28" s="23">
        <f t="shared" si="2"/>
        <v>0.5705779464850582</v>
      </c>
      <c r="N28" s="135"/>
      <c r="O28" s="135"/>
    </row>
    <row r="29" spans="2:15" ht="16.5" customHeight="1" thickBot="1">
      <c r="B29" s="150"/>
      <c r="C29" s="26" t="s">
        <v>31</v>
      </c>
      <c r="D29" s="28">
        <v>193.1</v>
      </c>
      <c r="E29" s="24">
        <f t="shared" si="0"/>
        <v>0.6036897291149459</v>
      </c>
      <c r="F29" s="136"/>
      <c r="G29" s="141"/>
      <c r="H29" s="2"/>
      <c r="J29" s="157"/>
      <c r="K29" s="26" t="s">
        <v>31</v>
      </c>
      <c r="L29" s="34">
        <v>74.46</v>
      </c>
      <c r="M29" s="31">
        <f t="shared" si="2"/>
        <v>0.5542034163224294</v>
      </c>
      <c r="N29" s="136"/>
      <c r="O29" s="136"/>
    </row>
    <row r="30" spans="2:15" ht="13.5" customHeight="1">
      <c r="B30" s="144">
        <v>2010</v>
      </c>
      <c r="C30" s="18" t="s">
        <v>44</v>
      </c>
      <c r="D30" s="30">
        <v>198.82</v>
      </c>
      <c r="E30" s="20">
        <f t="shared" si="0"/>
        <v>0.6215722006350779</v>
      </c>
      <c r="F30" s="134">
        <f>AVERAGE(D30:D37)</f>
        <v>206.77875</v>
      </c>
      <c r="G30" s="140">
        <f>AVERAGE(E30:E37)</f>
        <v>0.6464536901824294</v>
      </c>
      <c r="J30" s="144">
        <v>2010</v>
      </c>
      <c r="K30" s="13" t="s">
        <v>44</v>
      </c>
      <c r="L30" s="35">
        <v>76.17</v>
      </c>
      <c r="M30" s="36">
        <f aca="true" t="shared" si="3" ref="M30:M37">L30/(159*0.845)</f>
        <v>0.5669308920397456</v>
      </c>
      <c r="N30" s="134">
        <f>AVERAGE(L30:L37)</f>
        <v>77.1125</v>
      </c>
      <c r="O30" s="134">
        <f>AVERAGE(M30:M37)</f>
        <v>0.5739458896207807</v>
      </c>
    </row>
    <row r="31" spans="2:15" ht="13.5" customHeight="1">
      <c r="B31" s="145"/>
      <c r="C31" s="21" t="s">
        <v>37</v>
      </c>
      <c r="D31" s="12">
        <v>193.6</v>
      </c>
      <c r="E31" s="25">
        <f t="shared" si="0"/>
        <v>0.6052528822198525</v>
      </c>
      <c r="F31" s="135"/>
      <c r="G31" s="140"/>
      <c r="J31" s="145"/>
      <c r="K31" s="43" t="s">
        <v>37</v>
      </c>
      <c r="L31" s="37">
        <v>73.75</v>
      </c>
      <c r="M31" s="24">
        <f t="shared" si="3"/>
        <v>0.5489189088608537</v>
      </c>
      <c r="N31" s="135"/>
      <c r="O31" s="135"/>
    </row>
    <row r="32" spans="2:15" ht="13.5" customHeight="1">
      <c r="B32" s="145"/>
      <c r="C32" s="21" t="s">
        <v>38</v>
      </c>
      <c r="D32" s="12">
        <v>211.15</v>
      </c>
      <c r="E32" s="23">
        <f t="shared" si="0"/>
        <v>0.6601195562020757</v>
      </c>
      <c r="F32" s="135"/>
      <c r="G32" s="140"/>
      <c r="J32" s="145"/>
      <c r="K32" s="43" t="s">
        <v>38</v>
      </c>
      <c r="L32" s="37">
        <v>78.83</v>
      </c>
      <c r="M32" s="23">
        <f t="shared" si="3"/>
        <v>0.5867291876000149</v>
      </c>
      <c r="N32" s="135"/>
      <c r="O32" s="135"/>
    </row>
    <row r="33" spans="2:15" ht="13.5" customHeight="1">
      <c r="B33" s="145"/>
      <c r="C33" s="21" t="s">
        <v>81</v>
      </c>
      <c r="D33" s="41">
        <v>227.09</v>
      </c>
      <c r="E33" s="23">
        <f t="shared" si="0"/>
        <v>0.7099528771864996</v>
      </c>
      <c r="F33" s="135"/>
      <c r="G33" s="140"/>
      <c r="J33" s="145"/>
      <c r="K33" s="43" t="s">
        <v>81</v>
      </c>
      <c r="L33" s="42">
        <v>84.82</v>
      </c>
      <c r="M33" s="24">
        <f t="shared" si="3"/>
        <v>0.6313125674518998</v>
      </c>
      <c r="N33" s="135"/>
      <c r="O33" s="135"/>
    </row>
    <row r="34" spans="2:15" ht="13.5" customHeight="1">
      <c r="B34" s="145"/>
      <c r="C34" s="21" t="s">
        <v>77</v>
      </c>
      <c r="D34" s="129">
        <v>205.63</v>
      </c>
      <c r="E34" s="24">
        <f t="shared" si="0"/>
        <v>0.6428623459239063</v>
      </c>
      <c r="F34" s="135"/>
      <c r="G34" s="140"/>
      <c r="J34" s="145"/>
      <c r="K34" s="43" t="s">
        <v>77</v>
      </c>
      <c r="L34" s="45">
        <v>75.95</v>
      </c>
      <c r="M34" s="23">
        <f t="shared" si="3"/>
        <v>0.5652934390234826</v>
      </c>
      <c r="N34" s="135"/>
      <c r="O34" s="135"/>
    </row>
    <row r="35" spans="2:15" ht="13.5" customHeight="1">
      <c r="B35" s="145"/>
      <c r="C35" s="21" t="s">
        <v>78</v>
      </c>
      <c r="D35" s="129">
        <v>207.36</v>
      </c>
      <c r="E35" s="23">
        <f t="shared" si="0"/>
        <v>0.6482708556668835</v>
      </c>
      <c r="F35" s="135"/>
      <c r="G35" s="140"/>
      <c r="J35" s="145"/>
      <c r="K35" s="43" t="s">
        <v>78</v>
      </c>
      <c r="L35" s="45">
        <v>74.76</v>
      </c>
      <c r="M35" s="23">
        <f t="shared" si="3"/>
        <v>0.5564363067991516</v>
      </c>
      <c r="N35" s="135"/>
      <c r="O35" s="135"/>
    </row>
    <row r="36" spans="2:15" ht="13.5" customHeight="1">
      <c r="B36" s="145"/>
      <c r="C36" s="21" t="s">
        <v>79</v>
      </c>
      <c r="D36" s="130">
        <v>203.95</v>
      </c>
      <c r="E36" s="23">
        <f t="shared" si="0"/>
        <v>0.6376101514914201</v>
      </c>
      <c r="F36" s="135"/>
      <c r="G36" s="140"/>
      <c r="J36" s="145"/>
      <c r="K36" s="43" t="s">
        <v>79</v>
      </c>
      <c r="L36" s="45">
        <v>75.58</v>
      </c>
      <c r="M36" s="23">
        <f t="shared" si="3"/>
        <v>0.5625395407688587</v>
      </c>
      <c r="N36" s="135"/>
      <c r="O36" s="135"/>
    </row>
    <row r="37" spans="2:15" ht="13.5" customHeight="1" thickBot="1">
      <c r="B37" s="146"/>
      <c r="C37" s="26" t="s">
        <v>80</v>
      </c>
      <c r="D37" s="131">
        <v>206.63</v>
      </c>
      <c r="E37" s="31">
        <f t="shared" si="0"/>
        <v>0.6459886521337197</v>
      </c>
      <c r="F37" s="136"/>
      <c r="G37" s="141"/>
      <c r="J37" s="146"/>
      <c r="K37" s="44" t="s">
        <v>80</v>
      </c>
      <c r="L37" s="46">
        <v>77.04</v>
      </c>
      <c r="M37" s="29">
        <f t="shared" si="3"/>
        <v>0.5734062744222397</v>
      </c>
      <c r="N37" s="136"/>
      <c r="O37" s="136"/>
    </row>
    <row r="38" ht="13.5" customHeight="1" thickBot="1"/>
    <row r="39" spans="2:13" ht="13.5" customHeight="1" thickBot="1">
      <c r="B39" s="132" t="s">
        <v>85</v>
      </c>
      <c r="C39" s="147"/>
      <c r="D39" s="48">
        <f>AVERAGE(D37)</f>
        <v>206.63</v>
      </c>
      <c r="E39" s="47">
        <f>AVERAGE(E6:E37)</f>
        <v>0.6994777974422439</v>
      </c>
      <c r="J39" s="132" t="s">
        <v>85</v>
      </c>
      <c r="K39" s="147"/>
      <c r="L39" s="48">
        <f>AVERAGE(L6:L37)</f>
        <v>78.65468750000001</v>
      </c>
      <c r="M39" s="47">
        <f>AVERAGE(M6:M37)</f>
        <v>0.5854243422276805</v>
      </c>
    </row>
    <row r="40" ht="13.5" customHeight="1" thickBot="1"/>
    <row r="41" spans="10:13" ht="13.5" customHeight="1" thickBot="1">
      <c r="J41" s="132" t="s">
        <v>92</v>
      </c>
      <c r="K41" s="133"/>
      <c r="L41" s="49">
        <v>86</v>
      </c>
      <c r="M41" s="50">
        <f>L41/(159*0.845)</f>
        <v>0.6400952699936735</v>
      </c>
    </row>
    <row r="42" ht="13.5" customHeight="1"/>
    <row r="43" ht="13.5" customHeight="1"/>
    <row r="44" ht="13.5" customHeight="1"/>
    <row r="45" ht="15.75" customHeight="1"/>
    <row r="46" ht="13.5" customHeight="1"/>
    <row r="47" ht="13.5" customHeight="1"/>
    <row r="48" ht="13.5" customHeight="1"/>
    <row r="49" ht="16.5" customHeight="1"/>
    <row r="50" ht="13.5" customHeight="1"/>
    <row r="52" ht="12.75">
      <c r="I52" s="6"/>
    </row>
    <row r="59" ht="15.75" customHeight="1"/>
  </sheetData>
  <sheetProtection/>
  <mergeCells count="27">
    <mergeCell ref="N30:N37"/>
    <mergeCell ref="O30:O37"/>
    <mergeCell ref="D4:E4"/>
    <mergeCell ref="O6:O17"/>
    <mergeCell ref="J6:J17"/>
    <mergeCell ref="F4:G4"/>
    <mergeCell ref="J18:J29"/>
    <mergeCell ref="J30:J37"/>
    <mergeCell ref="J4:K4"/>
    <mergeCell ref="L4:M4"/>
    <mergeCell ref="B4:C4"/>
    <mergeCell ref="B30:B37"/>
    <mergeCell ref="B39:C39"/>
    <mergeCell ref="B6:B17"/>
    <mergeCell ref="B18:B29"/>
    <mergeCell ref="N6:N17"/>
    <mergeCell ref="J39:K39"/>
    <mergeCell ref="N4:O4"/>
    <mergeCell ref="N18:N29"/>
    <mergeCell ref="O18:O29"/>
    <mergeCell ref="J41:K41"/>
    <mergeCell ref="F6:F17"/>
    <mergeCell ref="G6:G17"/>
    <mergeCell ref="F18:F29"/>
    <mergeCell ref="G18:G29"/>
    <mergeCell ref="F30:F37"/>
    <mergeCell ref="G30:G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8"/>
  <sheetViews>
    <sheetView zoomScalePageLayoutView="0" workbookViewId="0" topLeftCell="A64">
      <selection activeCell="I78" sqref="I78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50.421875" style="0" customWidth="1"/>
    <col min="4" max="4" width="10.57421875" style="0" customWidth="1"/>
    <col min="5" max="5" width="10.8515625" style="0" customWidth="1"/>
    <col min="6" max="6" width="10.140625" style="0" customWidth="1"/>
    <col min="7" max="7" width="12.7109375" style="0" customWidth="1"/>
  </cols>
  <sheetData>
    <row r="1" ht="12.75">
      <c r="C1" s="7" t="s">
        <v>108</v>
      </c>
    </row>
    <row r="2" ht="12.75">
      <c r="C2" s="7"/>
    </row>
    <row r="3" ht="12.75">
      <c r="C3" s="7" t="s">
        <v>109</v>
      </c>
    </row>
    <row r="4" ht="13.5" thickBot="1">
      <c r="C4" s="7"/>
    </row>
    <row r="5" spans="2:6" ht="12.75">
      <c r="B5" s="164" t="s">
        <v>55</v>
      </c>
      <c r="C5" s="164" t="s">
        <v>107</v>
      </c>
      <c r="D5" s="160" t="s">
        <v>103</v>
      </c>
      <c r="E5" s="162" t="s">
        <v>106</v>
      </c>
      <c r="F5" s="163"/>
    </row>
    <row r="6" spans="2:6" ht="13.5" thickBot="1">
      <c r="B6" s="165"/>
      <c r="C6" s="165"/>
      <c r="D6" s="161"/>
      <c r="E6" s="73" t="s">
        <v>104</v>
      </c>
      <c r="F6" s="74" t="s">
        <v>105</v>
      </c>
    </row>
    <row r="7" spans="2:6" ht="12.75">
      <c r="B7" s="68">
        <v>1</v>
      </c>
      <c r="C7" s="69" t="s">
        <v>47</v>
      </c>
      <c r="D7" s="68" t="s">
        <v>33</v>
      </c>
      <c r="E7" s="78">
        <v>97167</v>
      </c>
      <c r="F7" s="82">
        <f>E7*3</f>
        <v>291501</v>
      </c>
    </row>
    <row r="8" spans="2:6" ht="12.75" customHeight="1">
      <c r="B8" s="3">
        <v>2</v>
      </c>
      <c r="C8" s="70" t="s">
        <v>102</v>
      </c>
      <c r="D8" s="3" t="s">
        <v>20</v>
      </c>
      <c r="E8" s="79">
        <v>91.12</v>
      </c>
      <c r="F8" s="83">
        <v>91.12</v>
      </c>
    </row>
    <row r="9" spans="2:7" ht="12.75">
      <c r="B9" s="3">
        <v>3</v>
      </c>
      <c r="C9" s="70" t="s">
        <v>51</v>
      </c>
      <c r="D9" s="3" t="s">
        <v>20</v>
      </c>
      <c r="E9" s="79">
        <v>3</v>
      </c>
      <c r="F9" s="83">
        <v>3</v>
      </c>
      <c r="G9" s="2"/>
    </row>
    <row r="10" spans="2:7" ht="12.75">
      <c r="B10" s="3">
        <v>4</v>
      </c>
      <c r="C10" s="70" t="s">
        <v>52</v>
      </c>
      <c r="D10" s="3" t="s">
        <v>20</v>
      </c>
      <c r="E10" s="79">
        <v>3</v>
      </c>
      <c r="F10" s="83">
        <v>3</v>
      </c>
      <c r="G10" s="5"/>
    </row>
    <row r="11" spans="2:7" ht="12.75">
      <c r="B11" s="3">
        <v>5</v>
      </c>
      <c r="C11" s="70" t="s">
        <v>57</v>
      </c>
      <c r="D11" s="3" t="s">
        <v>48</v>
      </c>
      <c r="E11" s="80">
        <v>8760</v>
      </c>
      <c r="F11" s="84">
        <v>8760</v>
      </c>
      <c r="G11" s="2"/>
    </row>
    <row r="12" spans="2:7" ht="12.75">
      <c r="B12" s="3">
        <v>6</v>
      </c>
      <c r="C12" s="70" t="s">
        <v>56</v>
      </c>
      <c r="D12" s="3" t="s">
        <v>49</v>
      </c>
      <c r="E12" s="80">
        <f>E7*(E8/100)*((100-E9)/100)*E11</f>
        <v>752329940.40288</v>
      </c>
      <c r="F12" s="84">
        <f>F7*(F8/100)*((100-F9)/100)*F11</f>
        <v>2256989821.20864</v>
      </c>
      <c r="G12" s="2"/>
    </row>
    <row r="13" spans="2:7" ht="12.75">
      <c r="B13" s="3">
        <v>7</v>
      </c>
      <c r="C13" s="70" t="s">
        <v>14</v>
      </c>
      <c r="D13" s="3" t="s">
        <v>23</v>
      </c>
      <c r="E13" s="80">
        <v>42612</v>
      </c>
      <c r="F13" s="84">
        <v>42612</v>
      </c>
      <c r="G13" s="2"/>
    </row>
    <row r="14" spans="2:7" ht="12.75">
      <c r="B14" s="3">
        <v>8</v>
      </c>
      <c r="C14" s="70" t="s">
        <v>58</v>
      </c>
      <c r="D14" s="3" t="s">
        <v>20</v>
      </c>
      <c r="E14" s="79">
        <v>48.08</v>
      </c>
      <c r="F14" s="83">
        <v>48.08</v>
      </c>
      <c r="G14" s="65"/>
    </row>
    <row r="15" spans="2:8" ht="12.75">
      <c r="B15" s="3">
        <v>9</v>
      </c>
      <c r="C15" s="70" t="s">
        <v>59</v>
      </c>
      <c r="D15" s="3" t="s">
        <v>20</v>
      </c>
      <c r="E15" s="79">
        <f>E14*((100-E10)/100)</f>
        <v>46.6376</v>
      </c>
      <c r="F15" s="83">
        <f>F14*((100-F10)/100)</f>
        <v>46.6376</v>
      </c>
      <c r="G15" s="2"/>
      <c r="H15" s="66"/>
    </row>
    <row r="16" spans="2:9" ht="15.75">
      <c r="B16" s="3">
        <v>10</v>
      </c>
      <c r="C16" s="70" t="s">
        <v>17</v>
      </c>
      <c r="D16" s="3" t="s">
        <v>22</v>
      </c>
      <c r="E16" s="80">
        <f>3600/(E15/100)</f>
        <v>7719.093606875139</v>
      </c>
      <c r="F16" s="84">
        <f>3600/(F15/100)</f>
        <v>7719.093606875139</v>
      </c>
      <c r="G16" s="67"/>
      <c r="H16" s="66"/>
      <c r="I16" s="105"/>
    </row>
    <row r="17" spans="2:8" ht="15.75">
      <c r="B17" s="3">
        <v>11</v>
      </c>
      <c r="C17" s="70" t="s">
        <v>18</v>
      </c>
      <c r="D17" s="3" t="s">
        <v>15</v>
      </c>
      <c r="E17" s="79">
        <f>E16/E13</f>
        <v>0.18114835273808175</v>
      </c>
      <c r="F17" s="83">
        <f>F16/F13</f>
        <v>0.18114835273808175</v>
      </c>
      <c r="G17" s="67"/>
      <c r="H17" s="66"/>
    </row>
    <row r="18" spans="2:7" ht="12.75">
      <c r="B18" s="3">
        <v>12</v>
      </c>
      <c r="C18" s="70" t="s">
        <v>93</v>
      </c>
      <c r="D18" s="3" t="s">
        <v>45</v>
      </c>
      <c r="E18" s="79">
        <v>15.8</v>
      </c>
      <c r="F18" s="83">
        <v>15.8</v>
      </c>
      <c r="G18" s="2"/>
    </row>
    <row r="19" spans="2:7" ht="12.75">
      <c r="B19" s="3">
        <v>13</v>
      </c>
      <c r="C19" s="70" t="s">
        <v>94</v>
      </c>
      <c r="D19" s="3" t="s">
        <v>45</v>
      </c>
      <c r="E19" s="81">
        <f>(('Bursat e naftes (Tabela)'!E39)*100)+E18</f>
        <v>85.74777974422439</v>
      </c>
      <c r="F19" s="85">
        <f>(('Bursat e naftes (Tabela)'!E39)*100)+F18</f>
        <v>85.74777974422439</v>
      </c>
      <c r="G19" s="2"/>
    </row>
    <row r="20" spans="2:7" ht="12.75">
      <c r="B20" s="3">
        <v>14</v>
      </c>
      <c r="C20" s="70" t="s">
        <v>53</v>
      </c>
      <c r="D20" s="3" t="s">
        <v>16</v>
      </c>
      <c r="E20" s="81">
        <f>E19*E17/100</f>
        <v>0.155330690516141</v>
      </c>
      <c r="F20" s="85">
        <f>F19*F17/100</f>
        <v>0.155330690516141</v>
      </c>
      <c r="G20" s="2"/>
    </row>
    <row r="21" spans="2:8" ht="12.75">
      <c r="B21" s="3">
        <v>15</v>
      </c>
      <c r="C21" s="70" t="s">
        <v>19</v>
      </c>
      <c r="D21" s="3"/>
      <c r="E21" s="79">
        <v>0.85</v>
      </c>
      <c r="F21" s="83">
        <v>0.85</v>
      </c>
      <c r="G21" s="2"/>
      <c r="H21" s="5"/>
    </row>
    <row r="22" spans="2:6" ht="12.75">
      <c r="B22" s="3">
        <v>16</v>
      </c>
      <c r="C22" s="71" t="s">
        <v>96</v>
      </c>
      <c r="D22" s="72" t="s">
        <v>36</v>
      </c>
      <c r="E22" s="80">
        <f>E17*E12/1000</f>
        <v>136283.32941952092</v>
      </c>
      <c r="F22" s="84">
        <f>F17*F12/1000</f>
        <v>408849.9882585628</v>
      </c>
    </row>
    <row r="23" spans="2:6" ht="13.5" thickBot="1">
      <c r="B23" s="86">
        <v>16</v>
      </c>
      <c r="C23" s="87" t="s">
        <v>95</v>
      </c>
      <c r="D23" s="86" t="s">
        <v>16</v>
      </c>
      <c r="E23" s="99">
        <f>E20/E21</f>
        <v>0.18274198884251885</v>
      </c>
      <c r="F23" s="88">
        <f>F20/F21</f>
        <v>0.18274198884251885</v>
      </c>
    </row>
    <row r="24" spans="2:6" ht="12.75">
      <c r="B24" s="75"/>
      <c r="C24" s="76"/>
      <c r="D24" s="75"/>
      <c r="E24" s="5"/>
      <c r="F24" s="5"/>
    </row>
    <row r="26" ht="12.75">
      <c r="C26" s="7" t="s">
        <v>110</v>
      </c>
    </row>
    <row r="27" ht="13.5" thickBot="1">
      <c r="C27" s="7"/>
    </row>
    <row r="28" spans="2:6" ht="12.75">
      <c r="B28" s="164" t="s">
        <v>55</v>
      </c>
      <c r="C28" s="164" t="s">
        <v>107</v>
      </c>
      <c r="D28" s="160" t="s">
        <v>103</v>
      </c>
      <c r="E28" s="162" t="s">
        <v>106</v>
      </c>
      <c r="F28" s="163"/>
    </row>
    <row r="29" spans="2:6" ht="13.5" thickBot="1">
      <c r="B29" s="165"/>
      <c r="C29" s="165"/>
      <c r="D29" s="161"/>
      <c r="E29" s="77" t="s">
        <v>104</v>
      </c>
      <c r="F29" s="74" t="s">
        <v>105</v>
      </c>
    </row>
    <row r="30" spans="2:6" ht="12.75">
      <c r="B30" s="68">
        <v>1</v>
      </c>
      <c r="C30" s="69" t="s">
        <v>47</v>
      </c>
      <c r="D30" s="68" t="s">
        <v>33</v>
      </c>
      <c r="E30" s="78">
        <v>97167</v>
      </c>
      <c r="F30" s="82">
        <f>E30*3</f>
        <v>291501</v>
      </c>
    </row>
    <row r="31" spans="2:6" ht="12.75">
      <c r="B31" s="3">
        <v>2</v>
      </c>
      <c r="C31" s="70" t="s">
        <v>50</v>
      </c>
      <c r="D31" s="3" t="s">
        <v>20</v>
      </c>
      <c r="E31" s="79">
        <v>91.12</v>
      </c>
      <c r="F31" s="89">
        <v>91.12</v>
      </c>
    </row>
    <row r="32" spans="2:6" ht="12.75">
      <c r="B32" s="3">
        <v>3</v>
      </c>
      <c r="C32" s="70" t="s">
        <v>51</v>
      </c>
      <c r="D32" s="3" t="s">
        <v>20</v>
      </c>
      <c r="E32" s="79">
        <v>3</v>
      </c>
      <c r="F32" s="89">
        <v>3</v>
      </c>
    </row>
    <row r="33" spans="2:6" ht="12.75">
      <c r="B33" s="3">
        <v>4</v>
      </c>
      <c r="C33" s="70" t="s">
        <v>52</v>
      </c>
      <c r="D33" s="3" t="s">
        <v>20</v>
      </c>
      <c r="E33" s="79">
        <v>3</v>
      </c>
      <c r="F33" s="89">
        <v>3</v>
      </c>
    </row>
    <row r="34" spans="2:6" ht="12.75">
      <c r="B34" s="3">
        <v>5</v>
      </c>
      <c r="C34" s="70" t="s">
        <v>57</v>
      </c>
      <c r="D34" s="3" t="s">
        <v>48</v>
      </c>
      <c r="E34" s="80">
        <v>8760</v>
      </c>
      <c r="F34" s="90">
        <v>8760</v>
      </c>
    </row>
    <row r="35" spans="2:6" ht="12.75">
      <c r="B35" s="3">
        <v>6</v>
      </c>
      <c r="C35" s="70" t="s">
        <v>56</v>
      </c>
      <c r="D35" s="3" t="s">
        <v>49</v>
      </c>
      <c r="E35" s="80">
        <f>E30*(E31/100)*((100-E32)/100)*E34</f>
        <v>752329940.40288</v>
      </c>
      <c r="F35" s="90">
        <f>F30*(F31/100)*((100-F32)/100)*F34</f>
        <v>2256989821.20864</v>
      </c>
    </row>
    <row r="36" spans="2:6" ht="12.75">
      <c r="B36" s="3">
        <v>7</v>
      </c>
      <c r="C36" s="70" t="s">
        <v>14</v>
      </c>
      <c r="D36" s="3" t="s">
        <v>32</v>
      </c>
      <c r="E36" s="80">
        <f>38231*0.902</f>
        <v>34484.362</v>
      </c>
      <c r="F36" s="90">
        <f>38231*0.902</f>
        <v>34484.362</v>
      </c>
    </row>
    <row r="37" spans="2:6" ht="12.75">
      <c r="B37" s="3">
        <v>8</v>
      </c>
      <c r="C37" s="70" t="s">
        <v>60</v>
      </c>
      <c r="D37" s="3" t="s">
        <v>20</v>
      </c>
      <c r="E37" s="79">
        <v>48.08</v>
      </c>
      <c r="F37" s="89">
        <v>48.08</v>
      </c>
    </row>
    <row r="38" spans="2:6" ht="12.75">
      <c r="B38" s="3">
        <v>9</v>
      </c>
      <c r="C38" s="70" t="s">
        <v>61</v>
      </c>
      <c r="D38" s="3" t="s">
        <v>20</v>
      </c>
      <c r="E38" s="79">
        <f>E37*((100-E33)/100)</f>
        <v>46.6376</v>
      </c>
      <c r="F38" s="89">
        <f>F37*((100-F33)/100)</f>
        <v>46.6376</v>
      </c>
    </row>
    <row r="39" spans="2:6" ht="12.75">
      <c r="B39" s="3">
        <v>10</v>
      </c>
      <c r="C39" s="70" t="s">
        <v>17</v>
      </c>
      <c r="D39" s="3" t="s">
        <v>22</v>
      </c>
      <c r="E39" s="80">
        <f>3600/(E38/100)</f>
        <v>7719.093606875139</v>
      </c>
      <c r="F39" s="90">
        <f>3600/(F38/100)</f>
        <v>7719.093606875139</v>
      </c>
    </row>
    <row r="40" spans="2:6" ht="12.75">
      <c r="B40" s="3">
        <v>11</v>
      </c>
      <c r="C40" s="70" t="s">
        <v>18</v>
      </c>
      <c r="D40" s="3" t="s">
        <v>34</v>
      </c>
      <c r="E40" s="81">
        <f>E39/E36</f>
        <v>0.22384330633332114</v>
      </c>
      <c r="F40" s="91">
        <f>F39/F36</f>
        <v>0.22384330633332114</v>
      </c>
    </row>
    <row r="41" spans="2:6" ht="12.75">
      <c r="B41" s="3">
        <v>12</v>
      </c>
      <c r="C41" s="70" t="s">
        <v>35</v>
      </c>
      <c r="D41" s="3" t="s">
        <v>62</v>
      </c>
      <c r="E41" s="80">
        <v>425</v>
      </c>
      <c r="F41" s="90">
        <v>425</v>
      </c>
    </row>
    <row r="42" spans="2:6" ht="12.75">
      <c r="B42" s="3">
        <v>13</v>
      </c>
      <c r="C42" s="70" t="s">
        <v>53</v>
      </c>
      <c r="D42" s="3" t="s">
        <v>16</v>
      </c>
      <c r="E42" s="81">
        <f>E41*E40/1000</f>
        <v>0.09513340519166148</v>
      </c>
      <c r="F42" s="91">
        <f>F41*F40/1000</f>
        <v>0.09513340519166148</v>
      </c>
    </row>
    <row r="43" spans="2:6" ht="12.75">
      <c r="B43" s="3">
        <v>14</v>
      </c>
      <c r="C43" s="70" t="s">
        <v>19</v>
      </c>
      <c r="D43" s="3"/>
      <c r="E43" s="79">
        <v>0.85</v>
      </c>
      <c r="F43" s="89">
        <v>0.85</v>
      </c>
    </row>
    <row r="44" spans="2:6" ht="12.75">
      <c r="B44" s="3">
        <v>15</v>
      </c>
      <c r="C44" s="71" t="s">
        <v>54</v>
      </c>
      <c r="D44" s="72" t="s">
        <v>68</v>
      </c>
      <c r="E44" s="80">
        <f>E40*E35</f>
        <v>168404021.3133311</v>
      </c>
      <c r="F44" s="90">
        <f>F40*F35</f>
        <v>505212063.9399933</v>
      </c>
    </row>
    <row r="45" spans="2:6" ht="13.5" thickBot="1">
      <c r="B45" s="86">
        <v>16</v>
      </c>
      <c r="C45" s="87" t="s">
        <v>70</v>
      </c>
      <c r="D45" s="86" t="s">
        <v>16</v>
      </c>
      <c r="E45" s="92">
        <f>E42/E43</f>
        <v>0.11192165316666057</v>
      </c>
      <c r="F45" s="93">
        <f>F42/F43</f>
        <v>0.11192165316666057</v>
      </c>
    </row>
    <row r="55" ht="12.75">
      <c r="C55" s="14" t="s">
        <v>111</v>
      </c>
    </row>
    <row r="56" ht="13.5" thickBot="1"/>
    <row r="57" spans="2:6" ht="12.75">
      <c r="B57" s="164" t="s">
        <v>55</v>
      </c>
      <c r="C57" s="164" t="s">
        <v>107</v>
      </c>
      <c r="D57" s="160" t="s">
        <v>103</v>
      </c>
      <c r="E57" s="162" t="s">
        <v>106</v>
      </c>
      <c r="F57" s="163"/>
    </row>
    <row r="58" spans="2:6" ht="13.5" thickBot="1">
      <c r="B58" s="165"/>
      <c r="C58" s="165"/>
      <c r="D58" s="161"/>
      <c r="E58" s="77" t="s">
        <v>104</v>
      </c>
      <c r="F58" s="74" t="s">
        <v>105</v>
      </c>
    </row>
    <row r="59" spans="2:6" ht="12.75">
      <c r="B59" s="78">
        <v>1</v>
      </c>
      <c r="C59" s="95" t="s">
        <v>47</v>
      </c>
      <c r="D59" s="68" t="s">
        <v>33</v>
      </c>
      <c r="E59" s="78">
        <v>97167</v>
      </c>
      <c r="F59" s="82">
        <f>E59*3</f>
        <v>291501</v>
      </c>
    </row>
    <row r="60" spans="2:6" ht="12.75">
      <c r="B60" s="94">
        <v>2</v>
      </c>
      <c r="C60" s="96" t="s">
        <v>50</v>
      </c>
      <c r="D60" s="3" t="s">
        <v>20</v>
      </c>
      <c r="E60" s="79">
        <v>91.12</v>
      </c>
      <c r="F60" s="83">
        <v>91.12</v>
      </c>
    </row>
    <row r="61" spans="2:6" ht="12.75">
      <c r="B61" s="94">
        <v>3</v>
      </c>
      <c r="C61" s="96" t="s">
        <v>51</v>
      </c>
      <c r="D61" s="3" t="s">
        <v>20</v>
      </c>
      <c r="E61" s="79">
        <v>3</v>
      </c>
      <c r="F61" s="83">
        <v>3</v>
      </c>
    </row>
    <row r="62" spans="2:6" ht="12.75">
      <c r="B62" s="94">
        <v>4</v>
      </c>
      <c r="C62" s="96" t="s">
        <v>52</v>
      </c>
      <c r="D62" s="3" t="s">
        <v>20</v>
      </c>
      <c r="E62" s="79">
        <v>3</v>
      </c>
      <c r="F62" s="83">
        <v>3</v>
      </c>
    </row>
    <row r="63" spans="2:8" ht="12.75">
      <c r="B63" s="94">
        <v>5</v>
      </c>
      <c r="C63" s="96" t="s">
        <v>57</v>
      </c>
      <c r="D63" s="3" t="s">
        <v>48</v>
      </c>
      <c r="E63" s="80">
        <v>8760</v>
      </c>
      <c r="F63" s="84">
        <v>8760</v>
      </c>
      <c r="H63" s="105"/>
    </row>
    <row r="64" spans="2:6" ht="12.75">
      <c r="B64" s="94">
        <v>6</v>
      </c>
      <c r="C64" s="96" t="s">
        <v>56</v>
      </c>
      <c r="D64" s="3" t="s">
        <v>49</v>
      </c>
      <c r="E64" s="80">
        <f>E59*(E60/100)*((100-E61)/100)*E63</f>
        <v>752329940.40288</v>
      </c>
      <c r="F64" s="84">
        <f>F59*(F60/100)*((100-F61)/100)*F63</f>
        <v>2256989821.20864</v>
      </c>
    </row>
    <row r="65" spans="2:6" ht="12.75">
      <c r="B65" s="94">
        <v>7</v>
      </c>
      <c r="C65" s="96" t="s">
        <v>63</v>
      </c>
      <c r="D65" s="3" t="s">
        <v>23</v>
      </c>
      <c r="E65" s="80">
        <v>49600</v>
      </c>
      <c r="F65" s="84">
        <v>49600</v>
      </c>
    </row>
    <row r="66" spans="2:6" ht="12.75">
      <c r="B66" s="94">
        <v>8</v>
      </c>
      <c r="C66" s="96" t="s">
        <v>64</v>
      </c>
      <c r="D66" s="3" t="s">
        <v>65</v>
      </c>
      <c r="E66" s="80">
        <v>500</v>
      </c>
      <c r="F66" s="84">
        <v>500</v>
      </c>
    </row>
    <row r="67" spans="2:6" ht="12.75">
      <c r="B67" s="94">
        <v>9</v>
      </c>
      <c r="C67" s="96" t="s">
        <v>66</v>
      </c>
      <c r="D67" s="3"/>
      <c r="E67" s="80">
        <v>600</v>
      </c>
      <c r="F67" s="84">
        <v>600</v>
      </c>
    </row>
    <row r="68" spans="2:6" ht="12.75">
      <c r="B68" s="94">
        <v>10</v>
      </c>
      <c r="C68" s="96" t="s">
        <v>72</v>
      </c>
      <c r="D68" s="3" t="s">
        <v>32</v>
      </c>
      <c r="E68" s="80">
        <f>E65*E66/E67</f>
        <v>41333.333333333336</v>
      </c>
      <c r="F68" s="84">
        <f>F65*F66/F67</f>
        <v>41333.333333333336</v>
      </c>
    </row>
    <row r="69" spans="2:6" ht="12.75">
      <c r="B69" s="94">
        <v>11</v>
      </c>
      <c r="C69" s="96" t="s">
        <v>60</v>
      </c>
      <c r="D69" s="3" t="s">
        <v>20</v>
      </c>
      <c r="E69" s="79">
        <v>48.08</v>
      </c>
      <c r="F69" s="83">
        <v>48.08</v>
      </c>
    </row>
    <row r="70" spans="2:6" ht="12.75">
      <c r="B70" s="94">
        <v>12</v>
      </c>
      <c r="C70" s="96" t="s">
        <v>61</v>
      </c>
      <c r="D70" s="3" t="s">
        <v>20</v>
      </c>
      <c r="E70" s="79">
        <f>E69*((100-E62)/100)</f>
        <v>46.6376</v>
      </c>
      <c r="F70" s="83">
        <f>F69*((100-F62)/100)</f>
        <v>46.6376</v>
      </c>
    </row>
    <row r="71" spans="2:6" ht="12.75">
      <c r="B71" s="94">
        <v>13</v>
      </c>
      <c r="C71" s="96" t="s">
        <v>17</v>
      </c>
      <c r="D71" s="3" t="s">
        <v>22</v>
      </c>
      <c r="E71" s="80">
        <f>3600/(E70/100)</f>
        <v>7719.093606875139</v>
      </c>
      <c r="F71" s="84">
        <f>3600/(F70/100)</f>
        <v>7719.093606875139</v>
      </c>
    </row>
    <row r="72" spans="2:6" ht="12.75">
      <c r="B72" s="94">
        <v>14</v>
      </c>
      <c r="C72" s="96" t="s">
        <v>18</v>
      </c>
      <c r="D72" s="3" t="s">
        <v>34</v>
      </c>
      <c r="E72" s="81">
        <f>E71/E68</f>
        <v>0.18675226468246303</v>
      </c>
      <c r="F72" s="85">
        <f>F71/F68</f>
        <v>0.18675226468246303</v>
      </c>
    </row>
    <row r="73" spans="2:6" ht="12.75">
      <c r="B73" s="97">
        <v>15</v>
      </c>
      <c r="C73" s="98" t="s">
        <v>67</v>
      </c>
      <c r="D73" s="72" t="s">
        <v>68</v>
      </c>
      <c r="E73" s="80">
        <f>E72*E64</f>
        <v>140499320.15866026</v>
      </c>
      <c r="F73" s="84">
        <f>F72*F64</f>
        <v>421497960.4759809</v>
      </c>
    </row>
    <row r="74" spans="2:6" ht="12.75">
      <c r="B74" s="94">
        <v>16</v>
      </c>
      <c r="C74" s="98" t="s">
        <v>69</v>
      </c>
      <c r="D74" s="72" t="s">
        <v>36</v>
      </c>
      <c r="E74" s="80">
        <f>((E73*E66)/E67)/1000</f>
        <v>117082.76679888355</v>
      </c>
      <c r="F74" s="84">
        <f>((F73*F66)/F67)/1000</f>
        <v>351248.30039665074</v>
      </c>
    </row>
    <row r="75" spans="2:6" ht="12.75">
      <c r="B75" s="97">
        <v>17</v>
      </c>
      <c r="C75" s="96" t="s">
        <v>73</v>
      </c>
      <c r="D75" s="3" t="s">
        <v>71</v>
      </c>
      <c r="E75" s="81">
        <v>0.645</v>
      </c>
      <c r="F75" s="85">
        <v>0.645</v>
      </c>
    </row>
    <row r="76" spans="2:6" ht="12.75">
      <c r="B76" s="97">
        <v>18</v>
      </c>
      <c r="C76" s="96" t="s">
        <v>75</v>
      </c>
      <c r="D76" s="3" t="s">
        <v>16</v>
      </c>
      <c r="E76" s="81">
        <f>E75*E74*1000/E64</f>
        <v>0.10037934226682386</v>
      </c>
      <c r="F76" s="85">
        <f>F75*F74*1000/F64</f>
        <v>0.10037934226682389</v>
      </c>
    </row>
    <row r="77" spans="2:6" ht="12.75">
      <c r="B77" s="97">
        <v>19</v>
      </c>
      <c r="C77" s="96" t="s">
        <v>19</v>
      </c>
      <c r="D77" s="3"/>
      <c r="E77" s="79">
        <v>0.85</v>
      </c>
      <c r="F77" s="83">
        <v>0.85</v>
      </c>
    </row>
    <row r="78" spans="2:6" ht="13.5" thickBot="1">
      <c r="B78" s="100">
        <v>20</v>
      </c>
      <c r="C78" s="101" t="s">
        <v>74</v>
      </c>
      <c r="D78" s="86" t="s">
        <v>16</v>
      </c>
      <c r="E78" s="99">
        <f>E76/E77</f>
        <v>0.1180933438433222</v>
      </c>
      <c r="F78" s="102">
        <f>F76/F77</f>
        <v>0.11809334384332223</v>
      </c>
    </row>
  </sheetData>
  <sheetProtection/>
  <mergeCells count="12">
    <mergeCell ref="B5:B6"/>
    <mergeCell ref="C5:C6"/>
    <mergeCell ref="D5:D6"/>
    <mergeCell ref="E5:F5"/>
    <mergeCell ref="B28:B29"/>
    <mergeCell ref="C28:C29"/>
    <mergeCell ref="D28:D29"/>
    <mergeCell ref="E28:F28"/>
    <mergeCell ref="B57:B58"/>
    <mergeCell ref="C57:C58"/>
    <mergeCell ref="D57:D58"/>
    <mergeCell ref="E57:F5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6">
      <selection activeCell="K31" sqref="K31"/>
    </sheetView>
  </sheetViews>
  <sheetFormatPr defaultColWidth="9.140625" defaultRowHeight="12.75"/>
  <cols>
    <col min="1" max="1" width="6.57421875" style="0" customWidth="1"/>
    <col min="2" max="2" width="7.57421875" style="0" customWidth="1"/>
    <col min="3" max="3" width="37.28125" style="0" customWidth="1"/>
    <col min="7" max="7" width="4.28125" style="0" customWidth="1"/>
  </cols>
  <sheetData>
    <row r="1" spans="1:7" ht="16.5" customHeight="1">
      <c r="A1" s="166" t="s">
        <v>112</v>
      </c>
      <c r="B1" s="167"/>
      <c r="C1" s="167"/>
      <c r="D1" s="167"/>
      <c r="E1" s="167"/>
      <c r="F1" s="167"/>
      <c r="G1" s="168"/>
    </row>
    <row r="2" spans="1:7" ht="16.5" customHeight="1" thickBot="1">
      <c r="A2" s="169"/>
      <c r="B2" s="170"/>
      <c r="C2" s="170"/>
      <c r="D2" s="170"/>
      <c r="E2" s="170"/>
      <c r="F2" s="170"/>
      <c r="G2" s="171"/>
    </row>
    <row r="3" ht="16.5">
      <c r="A3" s="103"/>
    </row>
    <row r="4" ht="12.75">
      <c r="A4" s="6"/>
    </row>
    <row r="5" ht="13.5" thickBot="1"/>
    <row r="6" spans="2:5" ht="13.5" thickBot="1">
      <c r="B6" s="51" t="s">
        <v>55</v>
      </c>
      <c r="C6" s="54" t="s">
        <v>98</v>
      </c>
      <c r="D6" s="58" t="s">
        <v>97</v>
      </c>
      <c r="E6" s="9" t="s">
        <v>20</v>
      </c>
    </row>
    <row r="7" spans="2:5" ht="12.75">
      <c r="B7" s="52">
        <v>1</v>
      </c>
      <c r="C7" s="55" t="s">
        <v>99</v>
      </c>
      <c r="D7" s="59">
        <v>0.183</v>
      </c>
      <c r="E7" s="62">
        <v>100</v>
      </c>
    </row>
    <row r="8" spans="2:5" ht="12.75">
      <c r="B8" s="10">
        <v>2</v>
      </c>
      <c r="C8" s="56" t="s">
        <v>100</v>
      </c>
      <c r="D8" s="60">
        <v>0.118</v>
      </c>
      <c r="E8" s="63">
        <f>D8/D7</f>
        <v>0.6448087431693988</v>
      </c>
    </row>
    <row r="9" spans="2:5" ht="13.5" thickBot="1">
      <c r="B9" s="53">
        <v>3</v>
      </c>
      <c r="C9" s="57" t="s">
        <v>101</v>
      </c>
      <c r="D9" s="61">
        <v>0.11</v>
      </c>
      <c r="E9" s="64">
        <f>D9/D7</f>
        <v>0.6010928961748634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2"/>
  <sheetViews>
    <sheetView zoomScalePageLayoutView="0" workbookViewId="0" topLeftCell="A22">
      <selection activeCell="G37" sqref="G37"/>
    </sheetView>
  </sheetViews>
  <sheetFormatPr defaultColWidth="9.140625" defaultRowHeight="12.75"/>
  <cols>
    <col min="1" max="1" width="3.28125" style="0" customWidth="1"/>
    <col min="2" max="2" width="63.00390625" style="0" customWidth="1"/>
    <col min="3" max="3" width="12.57421875" style="0" customWidth="1"/>
    <col min="4" max="4" width="10.57421875" style="0" customWidth="1"/>
    <col min="5" max="5" width="11.57421875" style="0" customWidth="1"/>
    <col min="6" max="6" width="10.00390625" style="0" bestFit="1" customWidth="1"/>
    <col min="9" max="9" width="10.00390625" style="0" bestFit="1" customWidth="1"/>
    <col min="11" max="11" width="12.421875" style="0" bestFit="1" customWidth="1"/>
  </cols>
  <sheetData>
    <row r="1" ht="13.5" thickBot="1"/>
    <row r="2" spans="2:3" ht="12.75">
      <c r="B2" s="172" t="s">
        <v>133</v>
      </c>
      <c r="C2" s="173"/>
    </row>
    <row r="3" spans="2:3" ht="13.5" thickBot="1">
      <c r="B3" s="174"/>
      <c r="C3" s="175"/>
    </row>
    <row r="6" ht="15.75">
      <c r="B6" s="108" t="s">
        <v>134</v>
      </c>
    </row>
    <row r="7" spans="2:4" ht="12.75">
      <c r="B7" s="2" t="s">
        <v>124</v>
      </c>
      <c r="C7" s="106">
        <v>86.6</v>
      </c>
      <c r="D7" s="106"/>
    </row>
    <row r="8" spans="2:14" ht="12.75">
      <c r="B8" s="2" t="s">
        <v>125</v>
      </c>
      <c r="C8" s="106">
        <v>0.5</v>
      </c>
      <c r="D8" s="106"/>
      <c r="L8" s="39"/>
      <c r="M8" s="39"/>
      <c r="N8" s="65"/>
    </row>
    <row r="9" spans="12:15" ht="12.75">
      <c r="L9" s="39"/>
      <c r="M9" s="39"/>
      <c r="N9" s="2"/>
      <c r="O9" s="66"/>
    </row>
    <row r="10" spans="2:15" ht="15.75">
      <c r="B10" s="108" t="s">
        <v>135</v>
      </c>
      <c r="L10" s="39"/>
      <c r="M10" s="39"/>
      <c r="N10" s="2"/>
      <c r="O10" s="66"/>
    </row>
    <row r="11" spans="2:15" ht="15.75">
      <c r="B11" s="2" t="s">
        <v>126</v>
      </c>
      <c r="C11" s="106">
        <v>90.77</v>
      </c>
      <c r="F11" s="39"/>
      <c r="L11" s="104"/>
      <c r="M11" s="104"/>
      <c r="N11" s="67"/>
      <c r="O11" s="66"/>
    </row>
    <row r="12" spans="2:15" ht="15.75">
      <c r="B12" s="2" t="s">
        <v>127</v>
      </c>
      <c r="C12" s="106">
        <v>4.19</v>
      </c>
      <c r="L12" s="39"/>
      <c r="M12" s="39"/>
      <c r="N12" s="67"/>
      <c r="O12" s="66"/>
    </row>
    <row r="13" spans="2:13" ht="12.75">
      <c r="B13" s="2" t="s">
        <v>128</v>
      </c>
      <c r="C13" s="106">
        <v>1.16</v>
      </c>
      <c r="L13" s="39"/>
      <c r="M13" s="39"/>
    </row>
    <row r="14" spans="2:3" ht="12.75">
      <c r="B14" s="2" t="s">
        <v>129</v>
      </c>
      <c r="C14" s="106">
        <v>0.41</v>
      </c>
    </row>
    <row r="15" spans="2:3" ht="12.75">
      <c r="B15" s="2" t="s">
        <v>130</v>
      </c>
      <c r="C15" s="106">
        <v>0.098</v>
      </c>
    </row>
    <row r="16" spans="2:3" ht="12.75">
      <c r="B16" s="2" t="s">
        <v>131</v>
      </c>
      <c r="C16" s="106">
        <v>0.062</v>
      </c>
    </row>
    <row r="17" spans="2:3" ht="12.75">
      <c r="B17" s="2" t="s">
        <v>132</v>
      </c>
      <c r="C17" s="106">
        <v>0.91</v>
      </c>
    </row>
    <row r="19" ht="15.75">
      <c r="B19" s="108" t="s">
        <v>139</v>
      </c>
    </row>
    <row r="20" ht="13.5" thickBot="1">
      <c r="B20" s="119"/>
    </row>
    <row r="21" spans="1:5" ht="12.75">
      <c r="A21" s="178" t="s">
        <v>55</v>
      </c>
      <c r="B21" s="178" t="s">
        <v>122</v>
      </c>
      <c r="C21" s="176" t="s">
        <v>123</v>
      </c>
      <c r="D21" s="176" t="s">
        <v>138</v>
      </c>
      <c r="E21" s="109"/>
    </row>
    <row r="22" spans="1:5" ht="13.5" thickBot="1">
      <c r="A22" s="181"/>
      <c r="B22" s="181"/>
      <c r="C22" s="177"/>
      <c r="D22" s="177"/>
      <c r="E22" s="1"/>
    </row>
    <row r="23" spans="1:4" ht="12.75">
      <c r="A23" s="68">
        <v>1</v>
      </c>
      <c r="B23" s="110" t="s">
        <v>113</v>
      </c>
      <c r="C23" s="68" t="s">
        <v>137</v>
      </c>
      <c r="D23" s="112">
        <f>0.01867*((C7+(0.375*C8)))</f>
        <v>1.6203226249999998</v>
      </c>
    </row>
    <row r="24" spans="1:4" ht="12.75">
      <c r="A24" s="3">
        <v>2</v>
      </c>
      <c r="B24" s="70" t="s">
        <v>114</v>
      </c>
      <c r="C24" s="3" t="s">
        <v>136</v>
      </c>
      <c r="D24" s="113">
        <f>D23*1.3</f>
        <v>2.1064194124999998</v>
      </c>
    </row>
    <row r="25" spans="1:4" ht="12.75">
      <c r="A25" s="3">
        <v>3</v>
      </c>
      <c r="B25" s="70" t="s">
        <v>115</v>
      </c>
      <c r="C25" s="3" t="s">
        <v>141</v>
      </c>
      <c r="D25" s="114">
        <f>D24*'Kostua e 1 kwh'!E22</f>
        <v>287069.85068941116</v>
      </c>
    </row>
    <row r="26" spans="1:4" ht="12.75">
      <c r="A26" s="3">
        <v>4</v>
      </c>
      <c r="B26" s="70" t="s">
        <v>116</v>
      </c>
      <c r="C26" s="3" t="s">
        <v>141</v>
      </c>
      <c r="D26" s="114">
        <f>'Kostua e 1 kwh'!F22*D24</f>
        <v>861209.5520682337</v>
      </c>
    </row>
    <row r="27" spans="1:4" ht="12.75">
      <c r="A27" s="3">
        <v>5</v>
      </c>
      <c r="B27" s="70" t="s">
        <v>117</v>
      </c>
      <c r="C27" s="3" t="s">
        <v>120</v>
      </c>
      <c r="D27" s="115">
        <v>32</v>
      </c>
    </row>
    <row r="28" spans="1:4" ht="12.75">
      <c r="A28" s="3">
        <v>6</v>
      </c>
      <c r="B28" s="70" t="s">
        <v>118</v>
      </c>
      <c r="C28" s="3" t="s">
        <v>121</v>
      </c>
      <c r="D28" s="114">
        <f>D25*D27</f>
        <v>9186235.222061157</v>
      </c>
    </row>
    <row r="29" spans="1:4" ht="13.5" thickBot="1">
      <c r="A29" s="116">
        <v>7</v>
      </c>
      <c r="B29" s="111" t="s">
        <v>119</v>
      </c>
      <c r="C29" s="116" t="s">
        <v>121</v>
      </c>
      <c r="D29" s="122">
        <f>D27*D26</f>
        <v>27558705.66618348</v>
      </c>
    </row>
    <row r="32" ht="15.75">
      <c r="B32" s="121" t="s">
        <v>140</v>
      </c>
    </row>
    <row r="33" ht="13.5" thickBot="1"/>
    <row r="34" spans="1:4" ht="12.75">
      <c r="A34" s="178" t="s">
        <v>55</v>
      </c>
      <c r="B34" s="178" t="s">
        <v>122</v>
      </c>
      <c r="C34" s="176" t="s">
        <v>123</v>
      </c>
      <c r="D34" s="176" t="s">
        <v>138</v>
      </c>
    </row>
    <row r="35" spans="1:4" ht="13.5" thickBot="1">
      <c r="A35" s="179"/>
      <c r="B35" s="179"/>
      <c r="C35" s="180"/>
      <c r="D35" s="180"/>
    </row>
    <row r="36" spans="1:4" ht="12.75">
      <c r="A36" s="68">
        <v>1</v>
      </c>
      <c r="B36" s="117" t="s">
        <v>113</v>
      </c>
      <c r="C36" s="68" t="s">
        <v>142</v>
      </c>
      <c r="D36" s="123">
        <f>((C11+(2*C12)+(3*C13)+(4*C14)+(5*C15)+(6*C16)+C17))/100</f>
        <v>1.06042</v>
      </c>
    </row>
    <row r="37" spans="1:4" ht="12.75">
      <c r="A37" s="3">
        <v>2</v>
      </c>
      <c r="B37" s="96" t="s">
        <v>114</v>
      </c>
      <c r="C37" s="3" t="s">
        <v>143</v>
      </c>
      <c r="D37" s="89">
        <f>D36*1.3</f>
        <v>1.378546</v>
      </c>
    </row>
    <row r="38" spans="1:4" ht="12.75">
      <c r="A38" s="3">
        <v>3</v>
      </c>
      <c r="B38" s="96" t="s">
        <v>115</v>
      </c>
      <c r="C38" s="3" t="s">
        <v>141</v>
      </c>
      <c r="D38" s="90">
        <f>D37*'Kostua e 1 kwh'!E44/1000</f>
        <v>232152.68996540733</v>
      </c>
    </row>
    <row r="39" spans="1:4" ht="12.75">
      <c r="A39" s="3">
        <v>4</v>
      </c>
      <c r="B39" s="96" t="s">
        <v>116</v>
      </c>
      <c r="C39" s="3" t="s">
        <v>141</v>
      </c>
      <c r="D39" s="90">
        <f>'Kostua e 1 kwh'!F44*D37/1000</f>
        <v>696458.0698962221</v>
      </c>
    </row>
    <row r="40" spans="1:4" ht="12.75">
      <c r="A40" s="3">
        <v>5</v>
      </c>
      <c r="B40" s="96" t="s">
        <v>117</v>
      </c>
      <c r="C40" s="3" t="s">
        <v>120</v>
      </c>
      <c r="D40" s="3">
        <v>32</v>
      </c>
    </row>
    <row r="41" spans="1:4" ht="12.75">
      <c r="A41" s="3">
        <v>6</v>
      </c>
      <c r="B41" s="96" t="s">
        <v>118</v>
      </c>
      <c r="C41" s="3" t="s">
        <v>121</v>
      </c>
      <c r="D41" s="90">
        <f>D38*D40</f>
        <v>7428886.078893035</v>
      </c>
    </row>
    <row r="42" spans="1:4" ht="13.5" thickBot="1">
      <c r="A42" s="116">
        <v>7</v>
      </c>
      <c r="B42" s="118" t="s">
        <v>119</v>
      </c>
      <c r="C42" s="116" t="s">
        <v>121</v>
      </c>
      <c r="D42" s="124">
        <f>D40*D39</f>
        <v>22286658.236679107</v>
      </c>
    </row>
    <row r="45" ht="12.75">
      <c r="B45" s="120" t="s">
        <v>144</v>
      </c>
    </row>
    <row r="46" spans="2:4" ht="12.75">
      <c r="B46" s="66" t="s">
        <v>145</v>
      </c>
      <c r="C46" s="125" t="s">
        <v>141</v>
      </c>
      <c r="D46" s="107">
        <f>D25-D38</f>
        <v>54917.16072400383</v>
      </c>
    </row>
    <row r="47" spans="2:4" ht="12.75">
      <c r="B47" s="66" t="s">
        <v>146</v>
      </c>
      <c r="C47" s="125" t="s">
        <v>141</v>
      </c>
      <c r="D47" s="107">
        <f>D26-D39</f>
        <v>164751.48217201163</v>
      </c>
    </row>
    <row r="48" spans="3:4" ht="12.75">
      <c r="C48" s="106"/>
      <c r="D48" s="106"/>
    </row>
    <row r="49" spans="2:4" ht="12.75">
      <c r="B49" s="120" t="s">
        <v>147</v>
      </c>
      <c r="C49" s="106"/>
      <c r="D49" s="106"/>
    </row>
    <row r="50" spans="2:5" ht="12.75">
      <c r="B50" s="66" t="s">
        <v>145</v>
      </c>
      <c r="C50" s="106" t="s">
        <v>121</v>
      </c>
      <c r="D50" s="107">
        <f>D46*32</f>
        <v>1757349.1431681225</v>
      </c>
      <c r="E50" s="105"/>
    </row>
    <row r="51" spans="2:4" ht="12.75">
      <c r="B51" s="66" t="s">
        <v>146</v>
      </c>
      <c r="C51" s="106" t="s">
        <v>121</v>
      </c>
      <c r="D51" s="107">
        <f>D29-D42</f>
        <v>5272047.429504372</v>
      </c>
    </row>
    <row r="52" spans="3:4" ht="12.75">
      <c r="C52" s="106"/>
      <c r="D52" s="106"/>
    </row>
  </sheetData>
  <sheetProtection/>
  <mergeCells count="9">
    <mergeCell ref="B2:C3"/>
    <mergeCell ref="D21:D22"/>
    <mergeCell ref="A34:A35"/>
    <mergeCell ref="B34:B35"/>
    <mergeCell ref="C34:C35"/>
    <mergeCell ref="D34:D35"/>
    <mergeCell ref="A21:A22"/>
    <mergeCell ref="B21:B22"/>
    <mergeCell ref="C21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lavdie</dc:creator>
  <cp:keywords/>
  <dc:description/>
  <cp:lastModifiedBy>user</cp:lastModifiedBy>
  <cp:lastPrinted>2010-10-01T00:27:04Z</cp:lastPrinted>
  <dcterms:created xsi:type="dcterms:W3CDTF">2009-05-07T12:57:03Z</dcterms:created>
  <dcterms:modified xsi:type="dcterms:W3CDTF">2010-10-01T00:49:26Z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